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1"/>
  </bookViews>
  <sheets>
    <sheet name="городское поселение" sheetId="2" r:id="rId1"/>
    <sheet name="муниципальный район" sheetId="1" r:id="rId2"/>
  </sheets>
  <externalReferences>
    <externalReference r:id="rId3"/>
  </externalReferences>
  <calcPr calcId="125725" refMode="R1C1"/>
</workbook>
</file>

<file path=xl/calcChain.xml><?xml version="1.0" encoding="utf-8"?>
<calcChain xmlns="http://schemas.openxmlformats.org/spreadsheetml/2006/main">
  <c r="L117" i="2"/>
  <c r="K117"/>
  <c r="G117"/>
  <c r="I117" s="1"/>
  <c r="F117"/>
  <c r="L113"/>
  <c r="K113" s="1"/>
  <c r="J113"/>
  <c r="I113"/>
  <c r="G113"/>
  <c r="F113"/>
  <c r="L111"/>
  <c r="L109"/>
  <c r="E108"/>
  <c r="D108"/>
  <c r="E107"/>
  <c r="D107"/>
  <c r="E106"/>
  <c r="D106"/>
  <c r="L105"/>
  <c r="F105"/>
  <c r="E105"/>
  <c r="G105" s="1"/>
  <c r="D105"/>
  <c r="L103"/>
  <c r="L101"/>
  <c r="L99"/>
  <c r="L96"/>
  <c r="K96" s="1"/>
  <c r="J96"/>
  <c r="I96"/>
  <c r="G96"/>
  <c r="F96"/>
  <c r="L94"/>
  <c r="K94" s="1"/>
  <c r="I94"/>
  <c r="G94"/>
  <c r="J94" s="1"/>
  <c r="F94"/>
  <c r="E93"/>
  <c r="D93"/>
  <c r="L92"/>
  <c r="G92"/>
  <c r="F92"/>
  <c r="E92"/>
  <c r="D92"/>
  <c r="L89"/>
  <c r="K89" s="1"/>
  <c r="J89"/>
  <c r="G89"/>
  <c r="I89" s="1"/>
  <c r="F89"/>
  <c r="L87"/>
  <c r="K87"/>
  <c r="J87"/>
  <c r="G87"/>
  <c r="I87" s="1"/>
  <c r="F87"/>
  <c r="L85"/>
  <c r="K85" s="1"/>
  <c r="J85"/>
  <c r="I85"/>
  <c r="G85"/>
  <c r="F85"/>
  <c r="L83"/>
  <c r="K83" s="1"/>
  <c r="I83"/>
  <c r="G83"/>
  <c r="J83" s="1"/>
  <c r="H83" s="1"/>
  <c r="F83"/>
  <c r="L80"/>
  <c r="K80" s="1"/>
  <c r="G80"/>
  <c r="I80" s="1"/>
  <c r="F80"/>
  <c r="E77"/>
  <c r="D77"/>
  <c r="L76"/>
  <c r="F76"/>
  <c r="E76"/>
  <c r="G76" s="1"/>
  <c r="D76"/>
  <c r="L72"/>
  <c r="L67"/>
  <c r="K67" s="1"/>
  <c r="E67"/>
  <c r="D67"/>
  <c r="F67" s="1"/>
  <c r="L64"/>
  <c r="K64" s="1"/>
  <c r="E64"/>
  <c r="F64" s="1"/>
  <c r="D64"/>
  <c r="L60"/>
  <c r="K60" s="1"/>
  <c r="F60"/>
  <c r="E60"/>
  <c r="G60" s="1"/>
  <c r="D60"/>
  <c r="E59"/>
  <c r="D59"/>
  <c r="E56"/>
  <c r="D56"/>
  <c r="L55"/>
  <c r="D55"/>
  <c r="L51"/>
  <c r="K51" s="1"/>
  <c r="I51"/>
  <c r="G51"/>
  <c r="J51" s="1"/>
  <c r="F51"/>
  <c r="L48"/>
  <c r="K48" s="1"/>
  <c r="J48"/>
  <c r="G48"/>
  <c r="I48" s="1"/>
  <c r="F48"/>
  <c r="E46"/>
  <c r="D46"/>
  <c r="L45"/>
  <c r="F45"/>
  <c r="E45"/>
  <c r="G45" s="1"/>
  <c r="D45"/>
  <c r="L43"/>
  <c r="K43"/>
  <c r="G43"/>
  <c r="J9" s="1"/>
  <c r="H9" s="1"/>
  <c r="F43"/>
  <c r="L39"/>
  <c r="K39" s="1"/>
  <c r="J39"/>
  <c r="I39"/>
  <c r="H39" s="1"/>
  <c r="G39"/>
  <c r="F39"/>
  <c r="E37"/>
  <c r="D37"/>
  <c r="L36"/>
  <c r="E36"/>
  <c r="D36"/>
  <c r="F36" s="1"/>
  <c r="L32"/>
  <c r="L30"/>
  <c r="K30" s="1"/>
  <c r="J30"/>
  <c r="F30"/>
  <c r="E30"/>
  <c r="G30" s="1"/>
  <c r="I30" s="1"/>
  <c r="D30"/>
  <c r="E29"/>
  <c r="D29"/>
  <c r="L28"/>
  <c r="F28"/>
  <c r="E28"/>
  <c r="G28" s="1"/>
  <c r="D28"/>
  <c r="L23"/>
  <c r="K23"/>
  <c r="G23"/>
  <c r="I23" s="1"/>
  <c r="F23"/>
  <c r="E23"/>
  <c r="D23"/>
  <c r="E21"/>
  <c r="D21"/>
  <c r="L20"/>
  <c r="K20" s="1"/>
  <c r="J20"/>
  <c r="F20"/>
  <c r="E20"/>
  <c r="G20" s="1"/>
  <c r="I20" s="1"/>
  <c r="D20"/>
  <c r="L16"/>
  <c r="K16"/>
  <c r="G16"/>
  <c r="I16" s="1"/>
  <c r="F16"/>
  <c r="E16"/>
  <c r="D16"/>
  <c r="L12"/>
  <c r="K12" s="1"/>
  <c r="E12"/>
  <c r="D12"/>
  <c r="F12" s="1"/>
  <c r="L9"/>
  <c r="K9" s="1"/>
  <c r="E9"/>
  <c r="F9" s="1"/>
  <c r="D9"/>
  <c r="L7"/>
  <c r="K7" s="1"/>
  <c r="J7"/>
  <c r="F7"/>
  <c r="E7"/>
  <c r="G7" s="1"/>
  <c r="I7" s="1"/>
  <c r="D7"/>
  <c r="D6"/>
  <c r="E5"/>
  <c r="D5"/>
  <c r="E4"/>
  <c r="D4"/>
  <c r="L3"/>
  <c r="E3"/>
  <c r="L203" i="1"/>
  <c r="K203" s="1"/>
  <c r="J203"/>
  <c r="I203"/>
  <c r="G203"/>
  <c r="F203"/>
  <c r="L201"/>
  <c r="K201" s="1"/>
  <c r="J201"/>
  <c r="I201"/>
  <c r="G201"/>
  <c r="F201"/>
  <c r="L199"/>
  <c r="K199" s="1"/>
  <c r="J199"/>
  <c r="E199"/>
  <c r="F199" s="1"/>
  <c r="D199"/>
  <c r="E198"/>
  <c r="D198"/>
  <c r="L197"/>
  <c r="E197"/>
  <c r="F197" s="1"/>
  <c r="D197"/>
  <c r="L195"/>
  <c r="K195"/>
  <c r="J195"/>
  <c r="F195"/>
  <c r="E195"/>
  <c r="G195" s="1"/>
  <c r="I195" s="1"/>
  <c r="D195"/>
  <c r="E194"/>
  <c r="D194"/>
  <c r="L193"/>
  <c r="F193"/>
  <c r="E193"/>
  <c r="G193" s="1"/>
  <c r="D193"/>
  <c r="L191"/>
  <c r="K191"/>
  <c r="J191"/>
  <c r="G191"/>
  <c r="I191" s="1"/>
  <c r="F191"/>
  <c r="E191"/>
  <c r="D191"/>
  <c r="E190"/>
  <c r="E189" s="1"/>
  <c r="D190"/>
  <c r="D189" s="1"/>
  <c r="L189"/>
  <c r="L187"/>
  <c r="K187"/>
  <c r="J187"/>
  <c r="G187"/>
  <c r="I187" s="1"/>
  <c r="F187"/>
  <c r="L185"/>
  <c r="G185"/>
  <c r="F185"/>
  <c r="L183"/>
  <c r="L181"/>
  <c r="K181"/>
  <c r="J181"/>
  <c r="H181" s="1"/>
  <c r="H177" s="1"/>
  <c r="I181"/>
  <c r="G181"/>
  <c r="F181"/>
  <c r="L179"/>
  <c r="L177"/>
  <c r="G177"/>
  <c r="F177"/>
  <c r="L175"/>
  <c r="K175"/>
  <c r="J175"/>
  <c r="H175" s="1"/>
  <c r="H173" s="1"/>
  <c r="I175"/>
  <c r="F175"/>
  <c r="L173"/>
  <c r="G173"/>
  <c r="F173"/>
  <c r="L170"/>
  <c r="K170" s="1"/>
  <c r="J170"/>
  <c r="G170"/>
  <c r="I170" s="1"/>
  <c r="F170"/>
  <c r="L167"/>
  <c r="K167"/>
  <c r="J167"/>
  <c r="H167" s="1"/>
  <c r="G167"/>
  <c r="I167" s="1"/>
  <c r="L164"/>
  <c r="K164" s="1"/>
  <c r="J164"/>
  <c r="I164"/>
  <c r="G164"/>
  <c r="F164"/>
  <c r="E163"/>
  <c r="E162"/>
  <c r="D162"/>
  <c r="L161"/>
  <c r="E161"/>
  <c r="G161" s="1"/>
  <c r="D161"/>
  <c r="L157"/>
  <c r="K157" s="1"/>
  <c r="J157"/>
  <c r="E157"/>
  <c r="F157" s="1"/>
  <c r="D157"/>
  <c r="E156"/>
  <c r="F156" s="1"/>
  <c r="D156"/>
  <c r="E155"/>
  <c r="F155" s="1"/>
  <c r="D155"/>
  <c r="E154"/>
  <c r="F154" s="1"/>
  <c r="D154"/>
  <c r="L153"/>
  <c r="D153"/>
  <c r="L151"/>
  <c r="K151" s="1"/>
  <c r="J151"/>
  <c r="E151"/>
  <c r="G151" s="1"/>
  <c r="I151" s="1"/>
  <c r="D151"/>
  <c r="D141" s="1"/>
  <c r="L147"/>
  <c r="K147" s="1"/>
  <c r="J147"/>
  <c r="E147"/>
  <c r="E141" s="1"/>
  <c r="D147"/>
  <c r="L145"/>
  <c r="K145" s="1"/>
  <c r="J145"/>
  <c r="I145"/>
  <c r="G145"/>
  <c r="F145"/>
  <c r="E144"/>
  <c r="F144" s="1"/>
  <c r="D144"/>
  <c r="G144" s="1"/>
  <c r="E143"/>
  <c r="F143" s="1"/>
  <c r="D143"/>
  <c r="G143" s="1"/>
  <c r="E142"/>
  <c r="F142" s="1"/>
  <c r="D142"/>
  <c r="G142" s="1"/>
  <c r="L141"/>
  <c r="L138"/>
  <c r="K138"/>
  <c r="J138"/>
  <c r="G138"/>
  <c r="I138" s="1"/>
  <c r="F138"/>
  <c r="E138"/>
  <c r="D138"/>
  <c r="L134"/>
  <c r="K134" s="1"/>
  <c r="J134"/>
  <c r="E134"/>
  <c r="D134"/>
  <c r="G134" s="1"/>
  <c r="I134" s="1"/>
  <c r="L132"/>
  <c r="K132" s="1"/>
  <c r="J132"/>
  <c r="D132"/>
  <c r="D126" s="1"/>
  <c r="L129"/>
  <c r="K129" s="1"/>
  <c r="J129"/>
  <c r="E129"/>
  <c r="F129" s="1"/>
  <c r="D129"/>
  <c r="G128"/>
  <c r="F128"/>
  <c r="G127"/>
  <c r="E127"/>
  <c r="F127" s="1"/>
  <c r="D127"/>
  <c r="L126"/>
  <c r="E126"/>
  <c r="L121"/>
  <c r="K121"/>
  <c r="J121"/>
  <c r="G121"/>
  <c r="I121" s="1"/>
  <c r="H121" s="1"/>
  <c r="F121"/>
  <c r="L118"/>
  <c r="K118" s="1"/>
  <c r="J118"/>
  <c r="E118"/>
  <c r="E109" s="1"/>
  <c r="D118"/>
  <c r="E111"/>
  <c r="D111"/>
  <c r="L110"/>
  <c r="E110"/>
  <c r="G110" s="1"/>
  <c r="D110"/>
  <c r="L109"/>
  <c r="D109"/>
  <c r="L106"/>
  <c r="K106"/>
  <c r="J106"/>
  <c r="G106"/>
  <c r="I106" s="1"/>
  <c r="H106" s="1"/>
  <c r="F106"/>
  <c r="E106"/>
  <c r="D106"/>
  <c r="L102"/>
  <c r="K102" s="1"/>
  <c r="J102"/>
  <c r="G102"/>
  <c r="I102" s="1"/>
  <c r="F102"/>
  <c r="D102"/>
  <c r="L99"/>
  <c r="K99" s="1"/>
  <c r="J99"/>
  <c r="G99"/>
  <c r="I99" s="1"/>
  <c r="F99"/>
  <c r="E97"/>
  <c r="D97"/>
  <c r="L96"/>
  <c r="F96"/>
  <c r="E96"/>
  <c r="G96" s="1"/>
  <c r="D96"/>
  <c r="K95"/>
  <c r="J95"/>
  <c r="I95"/>
  <c r="G95"/>
  <c r="F95"/>
  <c r="K94"/>
  <c r="J94"/>
  <c r="G94"/>
  <c r="I94" s="1"/>
  <c r="F94"/>
  <c r="L93"/>
  <c r="K93" s="1"/>
  <c r="J93"/>
  <c r="I93"/>
  <c r="G93"/>
  <c r="F93"/>
  <c r="G92"/>
  <c r="F92"/>
  <c r="E92"/>
  <c r="D92"/>
  <c r="G91"/>
  <c r="F91"/>
  <c r="E91"/>
  <c r="D91"/>
  <c r="L90"/>
  <c r="E90"/>
  <c r="F90" s="1"/>
  <c r="D90"/>
  <c r="L88"/>
  <c r="K88"/>
  <c r="J88"/>
  <c r="H88" s="1"/>
  <c r="G88"/>
  <c r="I88" s="1"/>
  <c r="F88"/>
  <c r="L86"/>
  <c r="K86" s="1"/>
  <c r="J86"/>
  <c r="I86"/>
  <c r="G86"/>
  <c r="F86"/>
  <c r="L83"/>
  <c r="K83" s="1"/>
  <c r="H83" s="1"/>
  <c r="J83"/>
  <c r="G83"/>
  <c r="I83" s="1"/>
  <c r="F83"/>
  <c r="L78"/>
  <c r="K78"/>
  <c r="J78"/>
  <c r="G78"/>
  <c r="I78" s="1"/>
  <c r="F78"/>
  <c r="L74"/>
  <c r="K74"/>
  <c r="J74"/>
  <c r="H74" s="1"/>
  <c r="G74"/>
  <c r="I74" s="1"/>
  <c r="F74"/>
  <c r="L71"/>
  <c r="K71" s="1"/>
  <c r="J71"/>
  <c r="I71"/>
  <c r="G71"/>
  <c r="F71"/>
  <c r="L67"/>
  <c r="K67" s="1"/>
  <c r="J67"/>
  <c r="G67"/>
  <c r="I67" s="1"/>
  <c r="F67"/>
  <c r="L64"/>
  <c r="K64"/>
  <c r="J64"/>
  <c r="G64"/>
  <c r="I64" s="1"/>
  <c r="H64" s="1"/>
  <c r="F64"/>
  <c r="L61"/>
  <c r="K61" s="1"/>
  <c r="J61"/>
  <c r="G61"/>
  <c r="I61" s="1"/>
  <c r="H61" s="1"/>
  <c r="F61"/>
  <c r="E60"/>
  <c r="G60" s="1"/>
  <c r="D60"/>
  <c r="G59"/>
  <c r="F59"/>
  <c r="F58"/>
  <c r="E58"/>
  <c r="G58" s="1"/>
  <c r="D58"/>
  <c r="F57"/>
  <c r="E57"/>
  <c r="G57" s="1"/>
  <c r="D57"/>
  <c r="L56"/>
  <c r="E56"/>
  <c r="G56" s="1"/>
  <c r="D56"/>
  <c r="L53"/>
  <c r="K53" s="1"/>
  <c r="J53"/>
  <c r="E53"/>
  <c r="E43" s="1"/>
  <c r="D53"/>
  <c r="L51"/>
  <c r="K51"/>
  <c r="J51"/>
  <c r="G51"/>
  <c r="I51" s="1"/>
  <c r="H51" s="1"/>
  <c r="F51"/>
  <c r="E51"/>
  <c r="D51"/>
  <c r="L47"/>
  <c r="K47"/>
  <c r="J47"/>
  <c r="G47"/>
  <c r="I47" s="1"/>
  <c r="E47"/>
  <c r="D47"/>
  <c r="F47" s="1"/>
  <c r="L45"/>
  <c r="K45" s="1"/>
  <c r="J45"/>
  <c r="E45"/>
  <c r="G45" s="1"/>
  <c r="I45" s="1"/>
  <c r="D45"/>
  <c r="D43" s="1"/>
  <c r="E44"/>
  <c r="G44" s="1"/>
  <c r="D44"/>
  <c r="L43"/>
  <c r="L35"/>
  <c r="K35"/>
  <c r="J35"/>
  <c r="G35"/>
  <c r="I35" s="1"/>
  <c r="H35" s="1"/>
  <c r="E35"/>
  <c r="D35"/>
  <c r="F35" s="1"/>
  <c r="L33"/>
  <c r="K33" s="1"/>
  <c r="J33"/>
  <c r="E33"/>
  <c r="G33" s="1"/>
  <c r="I33" s="1"/>
  <c r="D33"/>
  <c r="L30"/>
  <c r="K30" s="1"/>
  <c r="J30"/>
  <c r="E30"/>
  <c r="F30" s="1"/>
  <c r="D30"/>
  <c r="L28"/>
  <c r="K28"/>
  <c r="J28"/>
  <c r="H28" s="1"/>
  <c r="F28"/>
  <c r="E28"/>
  <c r="G28" s="1"/>
  <c r="I28" s="1"/>
  <c r="D28"/>
  <c r="E26"/>
  <c r="D26"/>
  <c r="E25"/>
  <c r="D25"/>
  <c r="E24"/>
  <c r="D24"/>
  <c r="E23"/>
  <c r="D23"/>
  <c r="L22"/>
  <c r="D22"/>
  <c r="L19"/>
  <c r="K19" s="1"/>
  <c r="J19"/>
  <c r="E19"/>
  <c r="F19" s="1"/>
  <c r="D19"/>
  <c r="L14"/>
  <c r="K14" s="1"/>
  <c r="J14"/>
  <c r="F14"/>
  <c r="E14"/>
  <c r="G14" s="1"/>
  <c r="I14" s="1"/>
  <c r="D14"/>
  <c r="L11"/>
  <c r="K11"/>
  <c r="J11"/>
  <c r="H11" s="1"/>
  <c r="G11"/>
  <c r="I11" s="1"/>
  <c r="F11"/>
  <c r="E11"/>
  <c r="D11"/>
  <c r="L7"/>
  <c r="K7" s="1"/>
  <c r="J7"/>
  <c r="E7"/>
  <c r="G7" s="1"/>
  <c r="I7" s="1"/>
  <c r="D7"/>
  <c r="E6"/>
  <c r="D6"/>
  <c r="E5"/>
  <c r="D5"/>
  <c r="E4"/>
  <c r="D4"/>
  <c r="L3"/>
  <c r="D3"/>
  <c r="H195" l="1"/>
  <c r="H193" s="1"/>
  <c r="H7"/>
  <c r="H19"/>
  <c r="H33"/>
  <c r="H47"/>
  <c r="H170"/>
  <c r="H187"/>
  <c r="H185" s="1"/>
  <c r="H78"/>
  <c r="H138"/>
  <c r="H191"/>
  <c r="H189" s="1"/>
  <c r="H87" i="2"/>
  <c r="I60"/>
  <c r="H60" s="1"/>
  <c r="J60"/>
  <c r="H89"/>
  <c r="H113"/>
  <c r="H51"/>
  <c r="H96"/>
  <c r="H7"/>
  <c r="H30"/>
  <c r="H28" s="1"/>
  <c r="H48"/>
  <c r="H45" s="1"/>
  <c r="H85"/>
  <c r="H94"/>
  <c r="D3"/>
  <c r="D122" s="1"/>
  <c r="G12"/>
  <c r="I12" s="1"/>
  <c r="J16"/>
  <c r="H16" s="1"/>
  <c r="J23"/>
  <c r="H23" s="1"/>
  <c r="H20" s="1"/>
  <c r="G36"/>
  <c r="J43"/>
  <c r="H43" s="1"/>
  <c r="H36" s="1"/>
  <c r="G67"/>
  <c r="J117"/>
  <c r="H117" s="1"/>
  <c r="G3"/>
  <c r="G9"/>
  <c r="I9" s="1"/>
  <c r="J12"/>
  <c r="H12" s="1"/>
  <c r="I43"/>
  <c r="G64"/>
  <c r="J80"/>
  <c r="H80" s="1"/>
  <c r="E55"/>
  <c r="F43" i="1"/>
  <c r="G43"/>
  <c r="G141"/>
  <c r="F141"/>
  <c r="H14"/>
  <c r="H3" s="1"/>
  <c r="H30"/>
  <c r="H22" s="1"/>
  <c r="H45"/>
  <c r="H71"/>
  <c r="H86"/>
  <c r="H93"/>
  <c r="H90" s="1"/>
  <c r="H102"/>
  <c r="H134"/>
  <c r="H145"/>
  <c r="H151"/>
  <c r="F189"/>
  <c r="G189"/>
  <c r="H67"/>
  <c r="H56" s="1"/>
  <c r="H99"/>
  <c r="H96" s="1"/>
  <c r="H164"/>
  <c r="H161" s="1"/>
  <c r="D205"/>
  <c r="H203"/>
  <c r="H201" s="1"/>
  <c r="F109"/>
  <c r="G109"/>
  <c r="F126"/>
  <c r="F7"/>
  <c r="G19"/>
  <c r="I19" s="1"/>
  <c r="G30"/>
  <c r="I30" s="1"/>
  <c r="F33"/>
  <c r="F44"/>
  <c r="F45"/>
  <c r="G53"/>
  <c r="I53" s="1"/>
  <c r="H53" s="1"/>
  <c r="F56"/>
  <c r="F60"/>
  <c r="G90"/>
  <c r="F110"/>
  <c r="G118"/>
  <c r="I118" s="1"/>
  <c r="H118" s="1"/>
  <c r="H109" s="1"/>
  <c r="G126"/>
  <c r="G129"/>
  <c r="I129" s="1"/>
  <c r="H129" s="1"/>
  <c r="H126" s="1"/>
  <c r="G132"/>
  <c r="I132" s="1"/>
  <c r="H132" s="1"/>
  <c r="F134"/>
  <c r="G147"/>
  <c r="I147" s="1"/>
  <c r="H147" s="1"/>
  <c r="F151"/>
  <c r="E153"/>
  <c r="G154"/>
  <c r="G155"/>
  <c r="G156"/>
  <c r="G157"/>
  <c r="I157" s="1"/>
  <c r="H157" s="1"/>
  <c r="H153" s="1"/>
  <c r="F161"/>
  <c r="E3"/>
  <c r="E22"/>
  <c r="E205" s="1"/>
  <c r="F53"/>
  <c r="F118"/>
  <c r="F132"/>
  <c r="F147"/>
  <c r="G197"/>
  <c r="G199"/>
  <c r="I199" s="1"/>
  <c r="H199" s="1"/>
  <c r="H197" s="1"/>
  <c r="H76" i="2" l="1"/>
  <c r="F55"/>
  <c r="G55"/>
  <c r="H3"/>
  <c r="E122"/>
  <c r="F3"/>
  <c r="I67"/>
  <c r="J67"/>
  <c r="J64"/>
  <c r="I64"/>
  <c r="H92"/>
  <c r="H105"/>
  <c r="F153" i="1"/>
  <c r="G153"/>
  <c r="H141"/>
  <c r="H205" s="1"/>
  <c r="G22"/>
  <c r="F22"/>
  <c r="G3"/>
  <c r="F3"/>
  <c r="H43"/>
  <c r="H64" i="2" l="1"/>
  <c r="H55" s="1"/>
  <c r="H122" s="1"/>
  <c r="H67"/>
</calcChain>
</file>

<file path=xl/sharedStrings.xml><?xml version="1.0" encoding="utf-8"?>
<sst xmlns="http://schemas.openxmlformats.org/spreadsheetml/2006/main" count="1038" uniqueCount="452">
  <si>
    <t>№ п/п</t>
  </si>
  <si>
    <t>Наименование программы/ подпрограммы</t>
  </si>
  <si>
    <t>Источник финансирования</t>
  </si>
  <si>
    <t xml:space="preserve">Объем бюджетных ассигнований </t>
  </si>
  <si>
    <t xml:space="preserve">Кассовые расходы </t>
  </si>
  <si>
    <t>% экономии при выполнении программ/подпрограмм</t>
  </si>
  <si>
    <t>% выполнения мероприятий программ/подпрограмм</t>
  </si>
  <si>
    <t>Эффективность реализации программ/подпрограмм</t>
  </si>
  <si>
    <t>Бальная оценка критерия С1</t>
  </si>
  <si>
    <t>Бальная оценка критерия С2/А1</t>
  </si>
  <si>
    <t>Бальная оценка критерия С3/А2</t>
  </si>
  <si>
    <t>Степень достижения результатов подпрограмм</t>
  </si>
  <si>
    <r>
      <t>на 2018 год</t>
    </r>
    <r>
      <rPr>
        <b/>
        <sz val="13"/>
        <color theme="1"/>
        <rFont val="Times New Roman"/>
        <family val="1"/>
        <charset val="204"/>
      </rPr>
      <t>, тыс.руб.</t>
    </r>
  </si>
  <si>
    <r>
      <t>(по состоянию на 31.12.2018)</t>
    </r>
    <r>
      <rPr>
        <b/>
        <sz val="13"/>
        <color theme="1"/>
        <rFont val="Times New Roman"/>
        <family val="1"/>
        <charset val="204"/>
      </rPr>
      <t>, тыс.руб.</t>
    </r>
  </si>
  <si>
    <t>Наименование целевого индикатора (Единица измерения)</t>
  </si>
  <si>
    <t>Доля жителей Гаврилово-Посадского муниципального района вовлеченных в культурно-массовые досуговые мероприятия (%)</t>
  </si>
  <si>
    <t>Увеличение количества посещений концертных мероприятий (%)</t>
  </si>
  <si>
    <t>Увеличение доли детей, привлекаемых к участию в творческих мероприятиях, в общем числе детей (%)</t>
  </si>
  <si>
    <t>Количество социально-значимых мероприятий, посвященных памятным и юбилейным датам за весь период реализации программы (единиц)</t>
  </si>
  <si>
    <t>Численность детей, получающих дополнительное образование в сфере культуры (человек)</t>
  </si>
  <si>
    <t>Развитие культуры Гаврилово-Посадского муниципального района</t>
  </si>
  <si>
    <t>Всего</t>
  </si>
  <si>
    <t>План</t>
  </si>
  <si>
    <t>местный бюджет</t>
  </si>
  <si>
    <t>факт</t>
  </si>
  <si>
    <t>областной бюджет</t>
  </si>
  <si>
    <t>от физ. и юр. лиц</t>
  </si>
  <si>
    <t>1.1</t>
  </si>
  <si>
    <t>Аналитическая подпрограмма «Обеспечение деятельности МБУ «Центр русского народного творчества Гаврилово-Посадского муниципального района Ивановской области»</t>
  </si>
  <si>
    <t>местный  бюджет</t>
  </si>
  <si>
    <t>1.2</t>
  </si>
  <si>
    <t>Аналитическая подпрограмма «Библиотечно-информационное обслуживание населения Гаврилово-Посадского муниципального района»</t>
  </si>
  <si>
    <t>1.3</t>
  </si>
  <si>
    <t>Аналитическая подпрограмма «Развитие дополнительного образования детей»</t>
  </si>
  <si>
    <t>1.4</t>
  </si>
  <si>
    <t>от физ. и юр. Лиц</t>
  </si>
  <si>
    <t>1.5</t>
  </si>
  <si>
    <t>Аналитическая подпрограмма «Организация культурно-массовых мероприятий»</t>
  </si>
  <si>
    <t>Развитие физической культуры, спорта и повышение эффективности реализации молодёжной политики Гаврилово-Посадского муниципального района</t>
  </si>
  <si>
    <t>Количество секций (единиц)</t>
  </si>
  <si>
    <t>Кол-во крупных спортивно-массовых мероприятий МБУ «Спортивно – оздоровительный центр» (единиц)</t>
  </si>
  <si>
    <t>Организация и проведение спортивно-оздоровительных мероприятий по заявке (единиц)</t>
  </si>
  <si>
    <t>Количество спортивных сооружений в районе (единиц)</t>
  </si>
  <si>
    <t>Количество  занимающихся физкультурой (человек)</t>
  </si>
  <si>
    <t>Количество спортсменов массовых разрядов (человек)</t>
  </si>
  <si>
    <t>Количество проведённых спортивно-массовых мероприятий отделом по физической культуре и спорту (единиц)</t>
  </si>
  <si>
    <t>Количество молодых семей, получивших соц. выплату на приобретение или строительство жилья (семей)</t>
  </si>
  <si>
    <t>Число детей и молодежи, посетившей районные и межпоселенческие мероприятия по работе с молодежью (человек)</t>
  </si>
  <si>
    <t>Количество проведенных районных и межпоселенческих мероприятий для детей и молодежи (единиц)</t>
  </si>
  <si>
    <t>Количество подростков, охваченных трудовой занятостью (человек)</t>
  </si>
  <si>
    <t>федеральный бюджет</t>
  </si>
  <si>
    <t>2.1</t>
  </si>
  <si>
    <t>Аналитическая подпрограмма «Развитие физической культуры и массового спорта»</t>
  </si>
  <si>
    <t>2.2</t>
  </si>
  <si>
    <t>Аналитическая подпрограмма «Деятельность МБУ «Спортивно-оздоровительный центр Гаврилово-Посадского муниципального района»</t>
  </si>
  <si>
    <t>2.3</t>
  </si>
  <si>
    <t>Аналитическая подпрограмма «Организация и осуществление мероприятий по работе с детьми и молодежью»</t>
  </si>
  <si>
    <t>2.4</t>
  </si>
  <si>
    <t xml:space="preserve">Специальная подпрограмма «Обеспечение жильем молодых семей» </t>
  </si>
  <si>
    <t>2.5</t>
  </si>
  <si>
    <t>Специальная программа «Проведение ремонта жилых помещений, принадлежащих на праве собственности детям-сиротам и детям, оставшимся без попечения родителей»</t>
  </si>
  <si>
    <t>Финансирование отсутствует</t>
  </si>
  <si>
    <t>2.6</t>
  </si>
  <si>
    <t>Специальная программа «Патриотическое воспитание граждан Гаврилово-Посадского муниципального района»</t>
  </si>
  <si>
    <t>Социальная поддержка граждан Гаврилово-Посадского муниципального района</t>
  </si>
  <si>
    <t>Коэффициент совместительства среди врачей  (%)</t>
  </si>
  <si>
    <t>Размер дефицита обеспеченности врачебными кадрами  (%)</t>
  </si>
  <si>
    <t>Привлечение молодых специалистов (чел.)</t>
  </si>
  <si>
    <t>Получатели муниципальной пенсии за выслугу лет</t>
  </si>
  <si>
    <t>3.1</t>
  </si>
  <si>
    <t>Специальная подпрограмма «Содействие обеспечению кадрами учреждений здравоохранения в Гаврилово-Посадском муниципальном районе»</t>
  </si>
  <si>
    <t>3.2</t>
  </si>
  <si>
    <t>Специальная подпрограмма «Организация дополнительного пенсионного обеспечения отдельных категорий граждан»</t>
  </si>
  <si>
    <t>3.3</t>
  </si>
  <si>
    <t xml:space="preserve">Специальная подпрограмма «Проведение ремонта жилых помещений инвалидов и участников Великой Отечественной войны 1941-1945 годов» </t>
  </si>
  <si>
    <t>3.4</t>
  </si>
  <si>
    <t>Специальная подпрограмма "Специальная подпрограмма«Привлечение молодых специалистов для работы в муниципальных учреждениях культуры "Гаврилово-Посадского муниципального района»</t>
  </si>
  <si>
    <t>3.5</t>
  </si>
  <si>
    <t>Специальная подпрограмма «Развитие и поддержка Гаврилово-Посадской общественной ветеранской организации всероссийской общественной организации (пенсионеров) войны, труда, вооруженных Сил и правоохранительных органов»</t>
  </si>
  <si>
    <t>Развитие системы образования Гаврилово-Посадского муниципального района</t>
  </si>
  <si>
    <t>Охват детей  в возрасте от 1 до 7 лет дошкольным образованием</t>
  </si>
  <si>
    <t>Доля учащихся, обучающихся в школах, отвечающих современным требованиям к условиям организации образовательного процесса на 80-100%</t>
  </si>
  <si>
    <t>Охват детей в возрасте 5-18 лет  программами дополнительного образования</t>
  </si>
  <si>
    <t>от юридических и физических лиц</t>
  </si>
  <si>
    <t>Удельный вес численности учащихся, участвующих в конкурсах и олимпиадах</t>
  </si>
  <si>
    <t>Кол-во семинаров, мастер-классов для педагогов и детей</t>
  </si>
  <si>
    <t>Кол-во районных мероприятий</t>
  </si>
  <si>
    <t>Численность участников районных мроприятий</t>
  </si>
  <si>
    <t>4.1</t>
  </si>
  <si>
    <t>Специальная подпрограмма «Выявление и поддержка одаренных детей»</t>
  </si>
  <si>
    <t>Увеличение доли молодых педагогических работников, до 30 лет</t>
  </si>
  <si>
    <t>4.2</t>
  </si>
  <si>
    <t>Специальная подпрограмма «Поддержка молодых педагогических работников образовательных учреждений Гаврилово-Посадского муниципального района»</t>
  </si>
  <si>
    <t>Охват детей организованным отдыхом и оздоровлением</t>
  </si>
  <si>
    <t>Доля детей, отдохнувших в лагерях</t>
  </si>
  <si>
    <t>Охват детей, находящихся в трудной жизненной ситуации, охваченных организованным отдыхом и оздоровлением</t>
  </si>
  <si>
    <t>4.3</t>
  </si>
  <si>
    <t>Специальная  подпрограмма «Обеспечение доступности полноценного отдыха и оздоровления детей»</t>
  </si>
  <si>
    <t>Охват учащихся горячим питанием</t>
  </si>
  <si>
    <t>Охват детей, находящихся в трудной жизненной ситуации, охваченных  горячим питанием</t>
  </si>
  <si>
    <t>4.4</t>
  </si>
  <si>
    <t>Специальная  подпрограмма «Организация питания в общеобразовательных учреждениях»</t>
  </si>
  <si>
    <t>4.5</t>
  </si>
  <si>
    <t>Аналитическая подпрограмма «Дошкольное образование»</t>
  </si>
  <si>
    <t>Доля Доля педагогов, повысивших квали-фикацию (%)</t>
  </si>
  <si>
    <t xml:space="preserve"> юр. и физических лиц</t>
  </si>
  <si>
    <t>4.6</t>
  </si>
  <si>
    <t>Аналитическая подпрограмма «Начальное общее, основное общее и среднее (полное) общее образование»</t>
  </si>
  <si>
    <t>Доля выпускников муниципальных общеобразовательных учреждений, сдавших единый государственный экзамен по русскому языку (%)</t>
  </si>
  <si>
    <t>Доля выпускников муниципальных общеобразовательных учреждений, сдавших ЕГЭ по математике (%)</t>
  </si>
  <si>
    <t>Удельный вес численности учителей в возрасте до 30 лет в общей численности учителей образовательных организаций (чел.)</t>
  </si>
  <si>
    <t>Отношение среднемесячной зара-ботной платы педагогических работ-ников общеобразовательных органи-заций к среднемесячной заработной плате в Ивановской области (%)</t>
  </si>
  <si>
    <t>Доля учащихся, обучающихся в школах, отвечающих современным требованиям к условиям организации образовательного процесса на 80-100% (чел.)</t>
  </si>
  <si>
    <t>Доля педагогов, внедряющих ин-формационно-коммуникационные технологии в образовательный про-цесс (%)</t>
  </si>
  <si>
    <t>Охват детей дополнительным образованием</t>
  </si>
  <si>
    <t>Доля детей ставших победителями, лауреатами, призерами областных и всероссийских соревнований (%)</t>
  </si>
  <si>
    <t>Отношение  среднемесячной зара-ботной платы педагогических работ-ников дополнительного образования к среднемесячной заработной плате в Ивановской области  (%)</t>
  </si>
  <si>
    <t>4.7</t>
  </si>
  <si>
    <t>Аналитическая подпрограмма «Дополнительное образование детей»</t>
  </si>
  <si>
    <t>% Учреждений, бух.учет в кот. Осущ-ся централизованно</t>
  </si>
  <si>
    <t>Отсутствие обосн-х жалоб от потребителей услуг</t>
  </si>
  <si>
    <t>4.8</t>
  </si>
  <si>
    <t>Аналитическая подпрограмма «Обеспечение ведения бухгалтерского учета в учреждениях, подведомственных Отделу образования администрации Гаврилово-Посадского муниципального района»</t>
  </si>
  <si>
    <t>Доля аттестованных педагогических работников (%)</t>
  </si>
  <si>
    <t>Доля педагогических работников по-высивших квалификацию (%)</t>
  </si>
  <si>
    <t>Доля педагогических работников, участвовавших в конкурсах  методи-ческих разработок, конкурсе лучших учителей, конкурс «Педагог года»</t>
  </si>
  <si>
    <t>Доля педагогических работников, публикующихся в федеральных об-разовательных изданиях</t>
  </si>
  <si>
    <t>4.9</t>
  </si>
  <si>
    <t>Аналитическая подпрограмма «Обеспечение деятельности Информационно-технического центра Отдела образования  Гаврилово-Посадского муниципального района»</t>
  </si>
  <si>
    <t>Развитие газификации Гаврилово-Посадского муниципального района</t>
  </si>
  <si>
    <t>Количество
газифицированных
населенных пунктов к их
общему числу (единиц, %)</t>
  </si>
  <si>
    <t>Количество
метров
газопроводов,
приходящихся на 1000
человек населения (м)</t>
  </si>
  <si>
    <t>Количество
газифицированных
квартир
и
частных
домовладений (шт)</t>
  </si>
  <si>
    <t>61, 69%</t>
  </si>
  <si>
    <t>25, 28,1%</t>
  </si>
  <si>
    <t>5.1</t>
  </si>
  <si>
    <t>Специальная подпрограмма «Строительство сетей газоснабжения в Гаврилово-Посадском муниципальном районе Ивановской области»</t>
  </si>
  <si>
    <t>Проектные работы
«Распределительные
газопроводы д.Шатры,
д.Ганшино, д.Крутицы,
д.Санково, д.Урусобино
Гаврилово-Посадского
района Ивановской области» (тыс. руб.)</t>
  </si>
  <si>
    <t>Развитие транспортной системы Гаврилово-Посадского муниципального района</t>
  </si>
  <si>
    <t>Протяженность дорог с твердым покрытием (КМ)</t>
  </si>
  <si>
    <t>Средняя скорость передвижения (км/час)</t>
  </si>
  <si>
    <t>Снижение стоимости перевозок (%)</t>
  </si>
  <si>
    <t>6.1</t>
  </si>
  <si>
    <t xml:space="preserve">Специальная  подпрограмма «Развитие сети автомобильных дорог общего пользования местного значения в Гаврилово-Посадском районе </t>
  </si>
  <si>
    <t>Развитие сети
автомобильных дорог
общего пользования
местного значения в
Гаврилово-Посадском
районе (тыс.руб.)</t>
  </si>
  <si>
    <t>Содержание
автомобильных дорог
общего пользования
местного значения  (тыс.руб.)</t>
  </si>
  <si>
    <t>Ремонт автомобильных дорог общего
пользования местного
значения (тыс. руб)</t>
  </si>
  <si>
    <t>2290,3273
3</t>
  </si>
  <si>
    <t>6.2</t>
  </si>
  <si>
    <t xml:space="preserve">Специальные подпрограммы «Субсидирование транспортного обслуживания населения Гаврилово-Посадского муниципального района» </t>
  </si>
  <si>
    <t>Оснащение
парка
подвижного
состава
транспортными
терминалами
нового
поколения (тыс. руб.)</t>
  </si>
  <si>
    <t>Оснащение
парка
подвижного
состава
системой спутникового
мониторинга
диспетчеризации
основе
технологий
ГЛОНАСС,
Транспортная
безопасность (тыс. руб.)</t>
  </si>
  <si>
    <t>Модернизация
подвижного состава (тыс.руб.)</t>
  </si>
  <si>
    <t>Обновление
парка
подвижного состава (тыс.руб.)</t>
  </si>
  <si>
    <t>6.3</t>
  </si>
  <si>
    <t>Специальная  подпрограмма «Развитие сети автомобильных дорог общего пользования местного значения в сельских поселениях Гаврилово-Посадского муниципального района»</t>
  </si>
  <si>
    <t>Содержание
автомобильных дорог
общего пользования
местного значения (тыс. руб.)</t>
  </si>
  <si>
    <t>Ремонт автомобильных
дорог общего
пользования местного
значения (тыс. руб.)</t>
  </si>
  <si>
    <t>1362,1025
9</t>
  </si>
  <si>
    <t>1362,1025
10</t>
  </si>
  <si>
    <t>Обеспечение доступным и комфортным жильем, объектами инженерной инфраструктуры населения   Гаврилово-Посадского муниципального района</t>
  </si>
  <si>
    <t>Наименование целевого индикатора</t>
  </si>
  <si>
    <t>Общая площадь
жилых помещений,
приходящихся в
среднем на 1 жителя
Гаврилово-Посадского
муниципального
района,на конец года (кв.м. на
1 чел.)</t>
  </si>
  <si>
    <t>Количество семей,
улучшивших
жилищные условия с
помощью мер
бюджетной
поддержки в сфере
ипотечного
жилищного
кредитования (семей)</t>
  </si>
  <si>
    <t>Количество
выдаваемых
ипотечных жилищных кредитов (ед.)</t>
  </si>
  <si>
    <t>Доля семей, имеющих
возможность
приобрести жилье,
соответствующее
стандартам
обеспечения жилыми
помещениями, с
помощью
собственных и
заемных средств (%)</t>
  </si>
  <si>
    <t>Коэффициент
доступности жилья
(соотношение средней
рыночной стоимости
стандартной квартиры
общей площадью 54
кв. м и среднего
годового совокупного
денежного дохода
семьи, состоящей из 3
человек) (%)</t>
  </si>
  <si>
    <t>Уровень износа
объектов жилищно-
коммунального
хозяйства (%)</t>
  </si>
  <si>
    <t>Доля средств
внебюджетных
источников в общем
объеме инвестиций в
модернизацию
объектов
коммунальной
инфраструктуры (%)</t>
  </si>
  <si>
    <t>Доля частных
компаний,
управляющих
объектами
коммунальной
инфраструктуры, в
общем количестве
всех организаций
коммунального комплекса (%)</t>
  </si>
  <si>
    <t>Доля заемных средств
в общем объеме
капитальных
вложений в системы
теплоснабжения,
водоснабжения,
водоотведения и
очистки сточных вод (%)</t>
  </si>
  <si>
    <t>Обеспечение жильем
отдельных категорий
граждан (дети-сироты
и дети, оставшиеся без
попечения родителей,
лицам из числа детей-
сирот
и
детей,
оставшихся
без
попечения родителей),
установленных
законодательством (%)</t>
  </si>
  <si>
    <t>внебюджетное финансирование</t>
  </si>
  <si>
    <t>7.1</t>
  </si>
  <si>
    <t>Специальная подпрограмма «Модернизация объектов коммунальной инфраструктуры Гаврилово-Посадского муниципального района»</t>
  </si>
  <si>
    <t>7.2</t>
  </si>
  <si>
    <t>Специальная подпрограмма «Бюджетная поддержка граждан в сфере ипотечного жилищного кредитования в Гаврилово-Посадском муниципальном районе»</t>
  </si>
  <si>
    <t>7.3</t>
  </si>
  <si>
    <t>Подпрограмма  Обеспечение жилыми помещениями детей-сирот, детей, оставшихся без попечения родителей, а также детей, находящихся под опекой (попечительством)</t>
  </si>
  <si>
    <t>Улучшение экологической обстановки  Гаврилово-Посадского муниципального района</t>
  </si>
  <si>
    <t xml:space="preserve">Рекультивация городской свалки ТБО, расположенной юго-восточнее с. Закомелье всего, в т.ч.
проведение эксперти-зы проекта рекульти-вация
</t>
  </si>
  <si>
    <t xml:space="preserve">Организация норма-тивного обращения с ртутьсодержащими отходами бюджетны-ми организациями (22 организации) 
Функционирование 6-ти пунктов приема ртутьсодержащих отходов от населения
</t>
  </si>
  <si>
    <t>Создание объектов озеленения школами района в рамках кон-курса «Проекты озе-ленения с элементами благоустройства на-селенных пунктов, их реализация»</t>
  </si>
  <si>
    <t>Создание цветников (клумб) на муници-пальных землях в рамках конкурса клумб «Гаврилово-Посадский район в цвету»</t>
  </si>
  <si>
    <t>Проведение конкурса детских рисунков «Экология глазами детей»</t>
  </si>
  <si>
    <t>Выполнение работ по межеванию земельных участков  природных объектов (ед. участков)</t>
  </si>
  <si>
    <t>Определение и закре-пление на местности границ местоположе-ния городских лесов городских лесов Шекшовского сель-ского  поселения</t>
  </si>
  <si>
    <t>22\6</t>
  </si>
  <si>
    <t>8.1</t>
  </si>
  <si>
    <t>Специальная подпрограмма «Обращение с отходами производства и потребления»</t>
  </si>
  <si>
    <t>8.2</t>
  </si>
  <si>
    <t>Специальная подпрограмма «Озеленение населенных пунктов района и экологическое воспитание населения»</t>
  </si>
  <si>
    <t>8.3</t>
  </si>
  <si>
    <t>Специальная подпрограмма «Особо охраняемые природные территории местного значения»</t>
  </si>
  <si>
    <t>8.4</t>
  </si>
  <si>
    <t>Специальная подпрограмма «Обустройство места отдыха населения»</t>
  </si>
  <si>
    <t>8.5</t>
  </si>
  <si>
    <t>Специальная подпрограмма «Городские леса»</t>
  </si>
  <si>
    <t>Экономическое развитие Гаврилово-Посадского муниципального района</t>
  </si>
  <si>
    <t>Количество малых предприятий на тысячу чел. Населения</t>
  </si>
  <si>
    <t>Доля среднесписочной численности работников малых предприятий в среднесписочной числености работников всех организаций и предприятий</t>
  </si>
  <si>
    <t>Доля продукции, произведенной СМСП в общем объеме произведенной продукции и услуг, предприятиями района</t>
  </si>
  <si>
    <t>Количество услуг, предоставляемых через МФЦ</t>
  </si>
  <si>
    <t>Количество пакетов принятых документов</t>
  </si>
  <si>
    <t>Количество консультаций в месяц</t>
  </si>
  <si>
    <t>Численность пострадавших от несчастных случаев на производстве со смертельным исходом</t>
  </si>
  <si>
    <t>Численность пострадавших от несчастных случаев на производстве с утратой трудоспособности на 1 день и более</t>
  </si>
  <si>
    <t>Количество рабочих мест, на которых произведена СОУТ</t>
  </si>
  <si>
    <t>Численность работников,  обученных по охране труда в аккредитованных учреждениях</t>
  </si>
  <si>
    <t>Единица измерения</t>
  </si>
  <si>
    <t>единиц</t>
  </si>
  <si>
    <t>%</t>
  </si>
  <si>
    <t>шт.</t>
  </si>
  <si>
    <t>чел.</t>
  </si>
  <si>
    <t>9.1</t>
  </si>
  <si>
    <t>Специальная подпрограмма «Развитие малого и среднего предпринимательства в Гаврилово-Посадском муниципальном районе Ивановской области на 2014-2016 годы»</t>
  </si>
  <si>
    <t>9.2</t>
  </si>
  <si>
    <t>Специальная подпрограмма «Создание и развитие многофункционального центра предоставления государственных и муниципальных услуг Гаврилово-Посадского муниципального района»</t>
  </si>
  <si>
    <t>9.3</t>
  </si>
  <si>
    <t>Специальная подпрограмма «Улучшение условий и охраны труда в Гаврилово-Посадском муниципальном районе»</t>
  </si>
  <si>
    <t>Развитие сельского хозяйства и регулирование рынков сельскохозяйственной продукции, сырья и продовольствия в Гаврилово-Посадском муниципальном районе</t>
  </si>
  <si>
    <t>Посевная площадь зерновые зернобобовые
культуры-всего, в том числе: сельхозорганизации и
КФХ хозяйства населения</t>
  </si>
  <si>
    <t>Картофель – всего в том числе:
сельхозорганизации и
КФХ хозяйства населения</t>
  </si>
  <si>
    <t>Овощи – всего в том числе:
сельхозорганизации и КФХ
хозяйства населения</t>
  </si>
  <si>
    <t>Производство основных
видов продукции. Зерно в весе после доработки – всего в том числе: сельхозорганизации и
КФХ хозяйства населения</t>
  </si>
  <si>
    <t>картофель – всего в том числе:
сельхозорганизации и КФХ
хозяйства населения</t>
  </si>
  <si>
    <t>овощи – всего в том числе:
сельхозорганизации и КФХ</t>
  </si>
  <si>
    <t>Реализация зерновых и
зернобобовых культур в
весе после доработки в
хозяйствах всех категорий</t>
  </si>
  <si>
    <t>Посевная площадь,
засеваемая элитными
семенами</t>
  </si>
  <si>
    <t>Производство молока во
всех категориях хозяйств
в том числе: сельхозорганизации и КФХ хозяйства населения</t>
  </si>
  <si>
    <t>Производство (реализация) скота и
птицы на убой в живом весе во всех категориях хозяйств в том числе:
сельхозорганизации и КФХ
хозяйства населения</t>
  </si>
  <si>
    <t>Количество приобретенной
новой техники
сельскохозяйственными
товаропроизводителями</t>
  </si>
  <si>
    <t>Развитие инновационной
деятельности в АПК: Площадь зерновых культур, обработанных биологическими
средствами защиты растений
и микробиологическими
удобрениями</t>
  </si>
  <si>
    <t>16917
16880
37</t>
  </si>
  <si>
    <t>560
79
481</t>
  </si>
  <si>
    <t>209
59
150</t>
  </si>
  <si>
    <t>47960
47917,8
42,2</t>
  </si>
  <si>
    <t>8429
1840
6589</t>
  </si>
  <si>
    <t>5583,
1898, 3685</t>
  </si>
  <si>
    <t>30707
27660
3047</t>
  </si>
  <si>
    <t>2200
1274
926</t>
  </si>
  <si>
    <t>17016
16931
85</t>
  </si>
  <si>
    <t>377
80
297</t>
  </si>
  <si>
    <t>99
58
41</t>
  </si>
  <si>
    <t>43201,2
43113,5
87,7</t>
  </si>
  <si>
    <t>5088,2
1019,3
4068,9</t>
  </si>
  <si>
    <t>3112,7
2240,5; 872,2</t>
  </si>
  <si>
    <t>29889                                                     28051,3
  1837,7</t>
  </si>
  <si>
    <t>2320,8
1450,7
870,2</t>
  </si>
  <si>
    <t>Ввод (приобретение) жилья для
граждан,
проживающих
в
сельской местности (кв.м.)</t>
  </si>
  <si>
    <t>10.1</t>
  </si>
  <si>
    <t>Специальная подпрограмма «Устойчивое развитие сельских территорий Гаврилово-Посадского муниципального района»</t>
  </si>
  <si>
    <t>Организация деятельности органов местного самоуправления  Гаврилово-Посадского муниципального района</t>
  </si>
  <si>
    <t>Доля муниципальных служащих, прошедших повышение квалификации</t>
  </si>
  <si>
    <t>Полнота исполнения переданных законодательством РФ отдельных государственных полномочий</t>
  </si>
  <si>
    <t>Полнота исполнения принятых полномочий поселений Гаврилово-Посадского муниципального района</t>
  </si>
  <si>
    <t>Количество предоставляемых муниципальных услуг</t>
  </si>
  <si>
    <t>Объем расходов бюджета в расчете на одного жителя района</t>
  </si>
  <si>
    <t>Объем расходов бюджета на содержание работников ОМСУ в расчете на одного жителя муниципального района</t>
  </si>
  <si>
    <t>Полнота реализации вопросов местного значения, в соответствии с федеральным законодательством</t>
  </si>
  <si>
    <t>Человек</t>
  </si>
  <si>
    <t>Единиц</t>
  </si>
  <si>
    <t>тыс.руб/на 1 жителя</t>
  </si>
  <si>
    <t>11.1</t>
  </si>
  <si>
    <t>Специальная подпрограмма «Эффективный муниципалитет»</t>
  </si>
  <si>
    <t>11.2</t>
  </si>
  <si>
    <t>Аналитическая подпрограмма «Обеспечение деятельности администрации Гаврилово-Посадского муниципального района, ее отраслевых (функциональных) органов»</t>
  </si>
  <si>
    <t>Количество заседаний Совета Гаврилово-Посадского муниципального района</t>
  </si>
  <si>
    <t>11.3</t>
  </si>
  <si>
    <t>Аналитическая подпрограмма «Обеспечение деятельности Совета Гаврилово-Посадского муниципального района»</t>
  </si>
  <si>
    <t>Совершенствование работы органов местного самоуправления Гаврилово-Посадского муниципального района</t>
  </si>
  <si>
    <t>«Уровень обеспеченности материально-технического и
финансово-хозяйственного
обеспечения деятельности» (%)</t>
  </si>
  <si>
    <t>«Уровень содержания зданий и
служебных помещений в надлежащем порядке» (%)</t>
  </si>
  <si>
    <t>12.1</t>
  </si>
  <si>
    <t>Аналитическая подпрограмма «Обеспечение деятельности органов местного самоуправления Гаврилово-Посадского муниципального района»</t>
  </si>
  <si>
    <t>Долгосрочная сбалансированность и устойчивость консолидированного бюджета Гаврилово-Посадского муниципального района</t>
  </si>
  <si>
    <t>Отношение объема муниципального долга консолидированного бюджета (за вычетом бюджетных кредитов) к доходам консолидированногобюджета (без учета безвозмездных поступлений)</t>
  </si>
  <si>
    <t>13.1</t>
  </si>
  <si>
    <t>Аналитическая подпрограмма «Обеспечение финансирования непредвиденных расходов бюджета Гаврилово-Посадского муниципального района»</t>
  </si>
  <si>
    <t>Число случаев нарушения установленных сроков выделения  средств из резервного фонда</t>
  </si>
  <si>
    <t>раз</t>
  </si>
  <si>
    <t>13.2</t>
  </si>
  <si>
    <t>Аналитическая подпрограмма «Обеспечение сбалансированности бюджетов поселений  Гаврилово-Посадского муниципального района»</t>
  </si>
  <si>
    <t>Количество дефицитных бюджетов поселений, получающих иные межбюджетные трансферты на оказание поддержки на осущетсвление части полномочий по решению ВМЗ</t>
  </si>
  <si>
    <t>13.3</t>
  </si>
  <si>
    <t>Специальная подпрограмма «Повышение качества управления муниципальными финансами»</t>
  </si>
  <si>
    <t>Доля расходов консолидированного бюджета, осуществляемых в рамках муниципальныхпрограмм (без учета расходов, осуществляемых за счет субвенцуий из бюджетов бюджетной системы РФ)</t>
  </si>
  <si>
    <t>Обеспечение доступным и комфортным жильем граждан сельских поселений Гаврилово-Посадского муниципального района</t>
  </si>
  <si>
    <t>Количество отремонтированных
муниципальных жилых помещений
за год (единиц)</t>
  </si>
  <si>
    <t>14.1</t>
  </si>
  <si>
    <t>Специальная подпрограмма «Обеспечение доступным и комфортным жильем граждан сельских поселений Гаврилово-Посадского муниципального района»</t>
  </si>
  <si>
    <t>Организация обеспечения населения в сельских поселениях Гаврилово-Посадского муниципального района коммунальными услугами и топливом</t>
  </si>
  <si>
    <t>Протяженность  канализационных и водопроводных сетей (м)</t>
  </si>
  <si>
    <t>Количество колодцев, требующих ремонта или
чистки (шт.)</t>
  </si>
  <si>
    <t>Количество КТП в  муниципальной собственности
или на обслуживании
Шекшовского сельского
поселения (шт)</t>
  </si>
  <si>
    <t>15.1</t>
  </si>
  <si>
    <t>Специальная подпрограмма «Организация обеспечения населения в сельских поселениях Гаврилово-Посадского муниципального района коммунальными услугами и топливом»</t>
  </si>
  <si>
    <t>Участие в организации деятельности по сбору и транспортированию твердых коммунальных отходов в сельских поселениях Гаврилово-Посадского муниципального района</t>
  </si>
  <si>
    <t>Количество выявленных органом муниципального контроля несанкционированных свалок (ед.)</t>
  </si>
  <si>
    <t>Количество выявленных органами  госконтроля несанкционированных свалок (ед.)</t>
  </si>
  <si>
    <t>Количество письменных жалоб населения на организацию сбора и вывоза ТКО (ед.)</t>
  </si>
  <si>
    <t>16.1</t>
  </si>
  <si>
    <t>Специальная подпрограмма «Участие в организации деятельности по сбору и транспортированию твердых коммунальных отходов в сельских поселениях Гаврилово-Посадского муниципального района»</t>
  </si>
  <si>
    <t>Организация ритуальных услуг и содержание мест захоронения в сельских поселениях Гаврилово-Посадского муниципального района</t>
  </si>
  <si>
    <t>Площадь территорий кладбищ (га)</t>
  </si>
  <si>
    <t>Количество нару-шений установлен-ных сроков расчистки от снега дорог кладбищ в зимнее время (ед.)</t>
  </si>
  <si>
    <t>Количество письмен-ных жалоб населения на качество предо-ставления услуг (ед.)</t>
  </si>
  <si>
    <t>17.1</t>
  </si>
  <si>
    <t>Специальная подпрограмма «Осуществление ритуальных услуг населению сельских поселений,  поддержание в надлежащем санитарном состоянии территорий кладбищ»</t>
  </si>
  <si>
    <t>Развитие многоуровневой системы профилактики правонарушений и обеспечение безопасности граждан на территории Гаврилово-Посадского муниципального района</t>
  </si>
  <si>
    <t>Удельный вес преступлений в общественных местах (%)</t>
  </si>
  <si>
    <t>Удельный вес преступлений в состоянии алкогольного опьянения (%)</t>
  </si>
  <si>
    <t>Удельный вес преступлений совершаемых несовершеннолетними (%)</t>
  </si>
  <si>
    <t>Удельный вес ДТП с пострадавшими (%)</t>
  </si>
  <si>
    <t>внебюджетные средства</t>
  </si>
  <si>
    <t>18.1</t>
  </si>
  <si>
    <t>Специальная подпрограмма «Профилактика правонарушений, обеспечение общественного порядка и противодействие преступности»</t>
  </si>
  <si>
    <t>ИТОГО</t>
  </si>
  <si>
    <t>Развитие культуры в Гаврилово-Посадском городском поселении</t>
  </si>
  <si>
    <t>Доля учреждений культуры
Гаврилово-Посадского
городского поселения, в
которых внедрены
информационно-
коммуникационные
технологии для доступности
информации об услугах
сферы культуры (чел.)</t>
  </si>
  <si>
    <t>Посещаемость культурно-
досуговых мероприятий (чел.)</t>
  </si>
  <si>
    <t>Увеличение количества
посещений библиотек (%)</t>
  </si>
  <si>
    <t>Рост числа клубных
формирований (кружков)</t>
  </si>
  <si>
    <t>Федеральный бюджет</t>
  </si>
  <si>
    <t>Аналитическая подпрограмма «Организация городских мероприятий»</t>
  </si>
  <si>
    <t>Аналитическая подпрограмма «Библиотечно-информационное обслуживание населения»</t>
  </si>
  <si>
    <t>Аналитическая подпрограмма «Обеспечение деятельности МБУ «Районное централизованное клубное объединение»</t>
  </si>
  <si>
    <t>Аналитическая подпрограмма «Музейно-выставочная деятельность»</t>
  </si>
  <si>
    <t>Развитие физической культуры, спорта и  реализация молодёжной политики Гаврилово-Посадского городского поселения»</t>
  </si>
  <si>
    <t>Численность жителей
Гаврилово-Посадского
городского поселения,
принявших участие в
физкультурных и спортивных
мероприятиях (человек)</t>
  </si>
  <si>
    <t>Количество подростков,
охваченных трудовой
занятостью</t>
  </si>
  <si>
    <t>Аналитическая подпрограмма «Организация проведения физкультурных и спортивных мероприятий»</t>
  </si>
  <si>
    <t>Аналитическая подпрограмма «Временное трудоустройство молодежи»</t>
  </si>
  <si>
    <t>финансирование отсутствует</t>
  </si>
  <si>
    <t>Пенсионное обеспечение и выплата пенсии за выслугу лет муниципальным служащим Гаврилово-Посадского городского поселения</t>
  </si>
  <si>
    <t>Получатели муниципальной
пенсии за выслугу лет (человек)</t>
  </si>
  <si>
    <t>Аналитическая подпрограмма «Пенсионное обеспечение и выплата пенсии за выслугу лет муниципальным служащим Гаврилово-Посадского городского поселения»</t>
  </si>
  <si>
    <t>Поддержка малого и среднего предпринимательства в Гаврилово-Посадском городском поселении</t>
  </si>
  <si>
    <t>Специальная подпрограмма «Поддержка малого и среднего предпринимательства в Гаврилово-Посадском городском поселении»</t>
  </si>
  <si>
    <t>Количество малых предприятий на 1000 человек экономически активного населения</t>
  </si>
  <si>
    <t>Управление муниципальным имуществом Гаврилово-Посадского городского поселения</t>
  </si>
  <si>
    <t>Общий объем поступлений в бюджет  доходов от использования имущества, находящегося в  муниципальной собственности (тыс. руб.)</t>
  </si>
  <si>
    <t xml:space="preserve">Общая площадь муниципального жилищного фонда (тыс.
кв. м)
</t>
  </si>
  <si>
    <t>Объем поступлений в бюджет городского поселения от продажи муниципального имущества в порядке приватизации (тыс.руб)</t>
  </si>
  <si>
    <t>Объем поступлений в бюджет  от аренды муниципального недвижимого имущества (тыс.руб)</t>
  </si>
  <si>
    <t>Объем поступлений в бюджет  от аренды земельных участков (тыс.руб)</t>
  </si>
  <si>
    <t>Объем поступлений в бюджет  по отчислениям от прибыли муниципальных унитарных предприятий и хозяйственных обществ (тыс.руб)</t>
  </si>
  <si>
    <t>Общая площадь муниципального жилищного фонда (тыс. кв.м.)</t>
  </si>
  <si>
    <t>Доля оплаты услуг по начислению, сбору платежей за наем жилого помещения муниципального жилищного фонда и доставке квитанций (%)</t>
  </si>
  <si>
    <t>Доля перечисления региональному оператору взносов на проведение капитального ремонта за муниципальные жилые помещения (%)</t>
  </si>
  <si>
    <t>Количество автомобильных дорог, в отношении которых требуется оформление права муниципальной собственности (единиц)</t>
  </si>
  <si>
    <t>Количество объектов жилищно-коммунального хозяйства, в отношении которых требуется оформление права муниципальной собственности</t>
  </si>
  <si>
    <t>Специальная подпрограмма «Оформление права муниципальной собственности на объекты дорожного и жилищно-коммунального хозяйства»</t>
  </si>
  <si>
    <t>5.2</t>
  </si>
  <si>
    <t>Аналитическая подпрограмма «Организация управления муниципальным имуществом»</t>
  </si>
  <si>
    <t>5.3</t>
  </si>
  <si>
    <t>Аналитическая подпрограмма «Содержание муниципального жилищного фонда»</t>
  </si>
  <si>
    <t>Развитие транспортной системы Гаврилово-Посадского городского поселения</t>
  </si>
  <si>
    <t>Доля
улиц,
тротуаров
площадей,
находящихся на
круглогодичном
содержании
общей
площади
улично-дорожной
сети</t>
  </si>
  <si>
    <t>Площадь дорог и
тротуаров,
находящихся на
зимнем
содержании</t>
  </si>
  <si>
    <t>Периодичность
зимней
уборки
дорог и тротуаров</t>
  </si>
  <si>
    <t>Площадь дорог и
тротуаров,
находящихся на
летнем
содержании</t>
  </si>
  <si>
    <t>Общая площадь
мостов
и путепроводов,находящихся на содержании</t>
  </si>
  <si>
    <t>Текущий ремонт
дорог</t>
  </si>
  <si>
    <t>Текущий ремонт
тротуаров</t>
  </si>
  <si>
    <t>Количество
предписаний
ГИБДД</t>
  </si>
  <si>
    <t>Общая
протяженность
автомобильных
дорог общего
пользования
местного значения
на территории
Гаврилово-
Посадского
городского
поселения,
соответствующих
нормативным
требованиям
к
транспортно-
эксплуатационны
м показателям</t>
  </si>
  <si>
    <t>Ремонт
автомобильной
дороги
общего
пользования
местного
значения
ул.
Октябрьская</t>
  </si>
  <si>
    <t>Ремонт
автомобильной
дороги
общего
пользования
местного
значения
пл.
Октябрьская</t>
  </si>
  <si>
    <t>Ремонт
автомобильной
дороги
общего
пользования
местного
значения
ул.
Урицкого</t>
  </si>
  <si>
    <t>Ремонт
автомобиль-ной
дороги общего
пользования
местного значения
ул. Загородная</t>
  </si>
  <si>
    <t>Ремонт
автомобиль-ной
дороги общего
пользования
местного значения
ул.
Красноармейская</t>
  </si>
  <si>
    <t>Ремонт
автомобильной
дороги общего
пользования
местного значения
ул. Советская</t>
  </si>
  <si>
    <t>Ремонт
автомобильной
дороги общего
пользования
местного значения
ул. Карла
Либкнехта</t>
  </si>
  <si>
    <t>Ремонт
автомобильной
дороги общего
пользования
местного
значения ул. Лизы
Болотиной</t>
  </si>
  <si>
    <t>Специальная  подпрограмма «Содержание и ремонт автомобильных дорог общего пользования местного значения и инженерных сооружений на них»</t>
  </si>
  <si>
    <t>Количество
перевезенных
пассажиров на
1000 человек
населения района (тыс.)</t>
  </si>
  <si>
    <t>Пассажирооборот
на 1000 человек
населения района (тыс. пасс./км)</t>
  </si>
  <si>
    <t>Стоимость одного
пасс / километра на
1000 человек
населения района (руб.)</t>
  </si>
  <si>
    <t xml:space="preserve">Специальные подпрограммы «Субсидирование транспортного обслуживания населения Гаврилово-Посадского городского поселения » </t>
  </si>
  <si>
    <t>Обеспечение доступным и комфортным жильем и жилищно-коммунальными услугами   Гаврилово-Посадского  городского поселения</t>
  </si>
  <si>
    <t>Количество
проживающих(временн
о проживающих) в
общежитии (чел.)</t>
  </si>
  <si>
    <t>Количество
потребителей услуги
городской баниа (чел.)</t>
  </si>
  <si>
    <t>Количество
юридических и
индивидуальных
предпринимателей,
которым представлена
субсидия на возмещение
недополученных
доходов в связи
регулированием платы
градан за услуги холодного
водоснабжения,
горячего
водоснабжения,
водоотведения и
очистки сточных вод (ед.)</t>
  </si>
  <si>
    <t>Обеспечение жильем
отдельных категорий
граждан (дети-сироты и
дети, оставшиеся без
попечения родителей,
установленных
федеральным
законодательством (шт.)</t>
  </si>
  <si>
    <t>Доля населенных
пунктов обеспеченных
водой (%)</t>
  </si>
  <si>
    <t>Специальная подпрограмма «Муниципальное общежитие»</t>
  </si>
  <si>
    <t>Количество
проживающих  (чел.)</t>
  </si>
  <si>
    <t>Количество временно 
проживающих  (чел.)</t>
  </si>
  <si>
    <t>Специальная подпрограмма «Услуги городской бани»</t>
  </si>
  <si>
    <t>Количество
потребителей
услуги городской
бани (ед.)</t>
  </si>
  <si>
    <t>Соблюдение
режима работы
бани (%)</t>
  </si>
  <si>
    <t>Соблюдение
постоянной
температуры
воздуха (%.)</t>
  </si>
  <si>
    <t>Специальная подпрограмма «Обеспечение доступным и комфортным жильем граждан и отдельных категорий граждан, установленных федеральным законодательством»</t>
  </si>
  <si>
    <t>Число получателей мер социальной поддержки по обеспечению жильем отдельных категорий граждан,
установленных областным законодательством от 14.03.1997 «7-ОЗ «О дополнительных гарантиях по социальной поддержке детей-сирот и детей, оставшихся без попечения (ед.)</t>
  </si>
  <si>
    <t>Уровень
возмещения
стоимости
предоставления
услуг по
холодному
водоснабжению,
горячему
водоснабжению,
водоотведению и
очистке сточных
вод» (%)</t>
  </si>
  <si>
    <t>7.4</t>
  </si>
  <si>
    <t>Специальная подпрограмма «Возмещение недополученных доходов в связи с приведением размера платы граждан за коммунальные услуги в соответствии с их предельными индексами роста»</t>
  </si>
  <si>
    <t>Благоустройство территории  Гаврилово-Посадского городского поселения</t>
  </si>
  <si>
    <t>Доля освещенных частей улиц в общей протяженности улично-дорожной сети (%)</t>
  </si>
  <si>
    <t>Доля территорий общего пользования, находящихся на круглогодичном содержании, в общей площади таких территорий (%)</t>
  </si>
  <si>
    <t>Объем уборки обочин и газонов дорог (км прохода)</t>
  </si>
  <si>
    <t>Объем утилизированного мусора при ликвидации свалок (тн)</t>
  </si>
  <si>
    <t>Доля обслуживающих  зеленых насаждений в общей площади таких территорий</t>
  </si>
  <si>
    <t>Площадь территорий кладбищ</t>
  </si>
  <si>
    <t>Аналитическая подпрограмма «Уличное освещение территории Гаврилово-Посадского городского поселения»</t>
  </si>
  <si>
    <t>Доля освещенных частей улиц в общей протяженности улич-но-дорожной сети (%)</t>
  </si>
  <si>
    <t>Доля энергосбере-гающих светильников (%)</t>
  </si>
  <si>
    <t>Доля территорий об-щего пользования, находящихся на круглогодичном содержании, в общей площади таких территорий (%)</t>
  </si>
  <si>
    <t>Доля обслуживающих зеленых насаждений в общей площади та-ких территорий (%)</t>
  </si>
  <si>
    <t>Доля обслуживающих зеленых насаждений в общей площади таких территорий</t>
  </si>
  <si>
    <t>Объем уборки обочин и газонов дорог (км.прохода)</t>
  </si>
  <si>
    <t>Объем утилизирован-ного мусора при ликвидации свалок (тн)</t>
  </si>
  <si>
    <t>Уровень обеспечен-ности материально-технического и фи-нансово-хозяйствен-ного обеспечения деятельности (%)</t>
  </si>
  <si>
    <t>Уровень содержания помещений и соору-жений в надлежащем порядке (%)</t>
  </si>
  <si>
    <t>Количество наруше-ний установленных сроков расчистки от снега дорог кладбищ в зимнее время (ед.)</t>
  </si>
  <si>
    <t>Количество письмен-ных жалоб населения на качество предос-тавления услуг(ед.)</t>
  </si>
  <si>
    <t>Разработка проектно-сметной документации объекта: «Благо-устройство Город-ской площади (пл. Советская, центр г. Гаврилов Посад)» (комплект)</t>
  </si>
  <si>
    <t>Аналитическая  подпрограмма «Благоустройство и озеленение территории Гаврилово-Посадского городского поселения»</t>
  </si>
  <si>
    <t>Специальная подпрограмма «Оказание муниципальной услуги Благоустройство территории общего пользования»</t>
  </si>
  <si>
    <t>Специальная подпрограмма «Содержание муниципального бюджетного учреждения «Надежда»»</t>
  </si>
  <si>
    <t>8.6</t>
  </si>
  <si>
    <t>Специальная подпрограмма «Оказание муниципальной услуги Содержание и благоустройство кладбищ Гаврилово-Посадского городского поселения»</t>
  </si>
  <si>
    <t>Пожарная безопасность и  защита населения и территории Гаврилово-Посадского городского поселения от чрезвычайных ситуаций</t>
  </si>
  <si>
    <t>«Количество ЧС
техногенного
характера»</t>
  </si>
  <si>
    <t>Шт.</t>
  </si>
  <si>
    <t>Аналитическая  подпрограмма «Защита населения и территорий от чрезвычайных ситуаций»</t>
  </si>
  <si>
    <t>«Число
травмированных
при ЧС»</t>
  </si>
  <si>
    <t>Чел.</t>
  </si>
  <si>
    <t>Аналитическая  подпрограмма «Обеспечение пожарной безопасности Гаврилово-Посадского городского поселения»</t>
  </si>
  <si>
    <t>«Количество
пожаров»</t>
  </si>
  <si>
    <t>«Число
травмированных и
погибших на
пожарах»</t>
  </si>
  <si>
    <t>Долгосрочная сбалансированность и устойчивость бюджета Гаврилово-Посадского городского поселения</t>
  </si>
  <si>
    <t>Отношение объема муниципального долга бюджета (за вычетом бюджетных кредитов) к доходам бюджета (без учета объема безвозмездных поступлений)</t>
  </si>
  <si>
    <t>Аналитическая подпрограмма «Обеспечение финансирования непредвиденных расходов бюджета Гаврилово-Посадского городского поселения»</t>
  </si>
  <si>
    <t>Доля просроченной кредиторской задолженности бюджета в общей сумме кредиторской задолженности</t>
  </si>
  <si>
    <t>Число случаев нарушения установленных сроков выделения средств из резервного фонда</t>
  </si>
  <si>
    <t>10.2</t>
  </si>
  <si>
    <t>Доля пасходов бюджета, осуществляемых в рамках муниципальных программ (без учета расходов, осуществляемых за счет субвенций из бюджетов бюджетной системы РФ)</t>
  </si>
  <si>
    <t>Формирование современной городской среды Гаврилово-Посадского городского поселения на 2018-2022 годы</t>
  </si>
  <si>
    <t>Количество благоустроенных дворовых территорий (ед.)</t>
  </si>
  <si>
    <t>Доля благоустроенных дворовых территорий от общего количества дворовых территорий (ед.)</t>
  </si>
  <si>
    <t>Количество благоустроенных  муниципальных территорий общего пользования (ед.)</t>
  </si>
  <si>
    <t>Площадь благоустроенных  муниципальных территорий общего пользования (га)</t>
  </si>
  <si>
    <t>Доля  площади  благоустроенных  муниципальных территорий общего пользования (%)</t>
  </si>
  <si>
    <t>Создание  объектов благоустройства (ед.)</t>
  </si>
  <si>
    <t>Процент благоустройства объекта (от общей сметной стоимости) (%)</t>
  </si>
  <si>
    <t>Специальная подпрограмма «Благоустройство дворовых территорий»</t>
  </si>
  <si>
    <t>Специальная подпрограмма «Благоустройство общественных территорий»</t>
  </si>
  <si>
    <t>Специальная подпрограмма «Обустройство мест массового отдыха населения (городских парков)»</t>
  </si>
  <si>
    <t>11.4</t>
  </si>
  <si>
    <t>Аналитическая  подпрограмма«Формирование современной городской среды на территории Гаврилово-Посадского городского поселения»</t>
  </si>
</sst>
</file>

<file path=xl/styles.xml><?xml version="1.0" encoding="utf-8"?>
<styleSheet xmlns="http://schemas.openxmlformats.org/spreadsheetml/2006/main">
  <numFmts count="11">
    <numFmt numFmtId="43" formatCode="_-* #,##0.00\ _₽_-;\-* #,##0.00\ _₽_-;_-* &quot;-&quot;??\ _₽_-;_-@_-"/>
    <numFmt numFmtId="164" formatCode="_-* #,##0.0\ _₽_-;\-* #,##0.0\ _₽_-;_-* &quot;-&quot;?\ _₽_-;_-@_-"/>
    <numFmt numFmtId="165" formatCode="#,##0.0000_ ;\-#,##0.0000\ "/>
    <numFmt numFmtId="166" formatCode="_-* #,##0.0000\ _₽_-;\-* #,##0.0000\ _₽_-;_-* &quot;-&quot;????\ _₽_-;_-@_-"/>
    <numFmt numFmtId="167" formatCode="#,##0.00000_ ;\-#,##0.00000\ "/>
    <numFmt numFmtId="168" formatCode="_-* #,##0.000\ _₽_-;\-* #,##0.000\ _₽_-;_-* &quot;-&quot;???\ _₽_-;_-@_-"/>
    <numFmt numFmtId="169" formatCode="_-* #,##0.00000\ _₽_-;\-* #,##0.00000\ _₽_-;_-* &quot;-&quot;?????\ _₽_-;_-@_-"/>
    <numFmt numFmtId="170" formatCode="0.000"/>
    <numFmt numFmtId="171" formatCode="#,##0.00_ ;\-#,##0.00\ "/>
    <numFmt numFmtId="172" formatCode="_-* #,##0.00000_р_._-;\-* #,##0.00000_р_._-;_-* &quot;-&quot;?????_р_._-;_-@_-"/>
    <numFmt numFmtId="173" formatCode="_-* #,##0.000_р_._-;\-* #,##0.000_р_._-;_-* &quot;-&quot;???_р_._-;_-@_-"/>
  </numFmts>
  <fonts count="20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24"/>
      <color rgb="FFFF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58"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5" xfId="0" applyFont="1" applyFill="1" applyBorder="1" applyAlignment="1">
      <alignment horizontal="center" vertical="top" wrapText="1"/>
    </xf>
    <xf numFmtId="0" fontId="6" fillId="6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3" fillId="7" borderId="9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165" fontId="4" fillId="8" borderId="10" xfId="0" applyNumberFormat="1" applyFont="1" applyFill="1" applyBorder="1" applyAlignment="1">
      <alignment horizontal="center" vertical="center" wrapText="1"/>
    </xf>
    <xf numFmtId="43" fontId="4" fillId="3" borderId="10" xfId="0" applyNumberFormat="1" applyFont="1" applyFill="1" applyBorder="1" applyAlignment="1">
      <alignment horizontal="center" vertical="center" wrapText="1"/>
    </xf>
    <xf numFmtId="43" fontId="4" fillId="4" borderId="10" xfId="0" applyNumberFormat="1" applyFont="1" applyFill="1" applyBorder="1" applyAlignment="1">
      <alignment horizontal="center" vertical="center" wrapText="1"/>
    </xf>
    <xf numFmtId="0" fontId="4" fillId="5" borderId="10" xfId="0" applyNumberFormat="1" applyFont="1" applyFill="1" applyBorder="1" applyAlignment="1">
      <alignment horizontal="center" vertical="center" wrapText="1"/>
    </xf>
    <xf numFmtId="0" fontId="0" fillId="3" borderId="11" xfId="0" applyNumberForma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9" fontId="3" fillId="7" borderId="14" xfId="0" applyNumberFormat="1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166" fontId="4" fillId="8" borderId="15" xfId="0" applyNumberFormat="1" applyFont="1" applyFill="1" applyBorder="1" applyAlignment="1">
      <alignment horizontal="center" vertical="center" wrapText="1"/>
    </xf>
    <xf numFmtId="43" fontId="4" fillId="3" borderId="15" xfId="0" applyNumberFormat="1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5" borderId="15" xfId="0" applyNumberFormat="1" applyFont="1" applyFill="1" applyBorder="1" applyAlignment="1">
      <alignment horizontal="center" vertical="center" wrapText="1"/>
    </xf>
    <xf numFmtId="0" fontId="0" fillId="3" borderId="16" xfId="0" applyNumberForma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9" fontId="3" fillId="7" borderId="18" xfId="0" applyNumberFormat="1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43" fontId="4" fillId="8" borderId="19" xfId="0" applyNumberFormat="1" applyFont="1" applyFill="1" applyBorder="1" applyAlignment="1">
      <alignment horizontal="center" vertical="center" wrapText="1"/>
    </xf>
    <xf numFmtId="43" fontId="4" fillId="3" borderId="19" xfId="0" applyNumberFormat="1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5" borderId="19" xfId="0" applyNumberFormat="1" applyFont="1" applyFill="1" applyBorder="1" applyAlignment="1">
      <alignment horizontal="center" vertical="center" wrapText="1"/>
    </xf>
    <xf numFmtId="0" fontId="0" fillId="3" borderId="20" xfId="0" applyNumberFormat="1" applyFill="1" applyBorder="1" applyAlignment="1">
      <alignment horizontal="center" vertical="center"/>
    </xf>
    <xf numFmtId="49" fontId="5" fillId="7" borderId="21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3" fontId="4" fillId="3" borderId="13" xfId="0" applyNumberFormat="1" applyFont="1" applyFill="1" applyBorder="1" applyAlignment="1">
      <alignment horizontal="center" vertical="center" wrapText="1"/>
    </xf>
    <xf numFmtId="43" fontId="5" fillId="3" borderId="13" xfId="0" applyNumberFormat="1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4" fillId="5" borderId="13" xfId="0" applyNumberFormat="1" applyFont="1" applyFill="1" applyBorder="1" applyAlignment="1">
      <alignment horizontal="center" vertical="center" wrapText="1"/>
    </xf>
    <xf numFmtId="0" fontId="5" fillId="5" borderId="13" xfId="0" applyNumberFormat="1" applyFont="1" applyFill="1" applyBorder="1" applyAlignment="1">
      <alignment horizontal="center" vertical="center" wrapText="1"/>
    </xf>
    <xf numFmtId="0" fontId="0" fillId="3" borderId="22" xfId="0" applyNumberFormat="1" applyFill="1" applyBorder="1" applyAlignment="1">
      <alignment horizontal="center" vertical="center"/>
    </xf>
    <xf numFmtId="49" fontId="5" fillId="7" borderId="14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3" fontId="5" fillId="3" borderId="15" xfId="0" applyNumberFormat="1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5" borderId="15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167" fontId="5" fillId="0" borderId="15" xfId="0" applyNumberFormat="1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43" fontId="5" fillId="4" borderId="15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3" fontId="4" fillId="3" borderId="23" xfId="0" applyNumberFormat="1" applyFont="1" applyFill="1" applyBorder="1" applyAlignment="1">
      <alignment horizontal="center" vertical="center" wrapText="1"/>
    </xf>
    <xf numFmtId="43" fontId="5" fillId="3" borderId="23" xfId="0" applyNumberFormat="1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4" fillId="5" borderId="23" xfId="0" applyNumberFormat="1" applyFont="1" applyFill="1" applyBorder="1" applyAlignment="1">
      <alignment horizontal="center" vertical="center" wrapText="1"/>
    </xf>
    <xf numFmtId="0" fontId="5" fillId="5" borderId="23" xfId="0" applyNumberFormat="1" applyFont="1" applyFill="1" applyBorder="1" applyAlignment="1">
      <alignment horizontal="center" vertical="center" wrapText="1"/>
    </xf>
    <xf numFmtId="0" fontId="0" fillId="3" borderId="25" xfId="0" applyNumberFormat="1" applyFill="1" applyBorder="1" applyAlignment="1">
      <alignment horizontal="center" vertical="center"/>
    </xf>
    <xf numFmtId="49" fontId="3" fillId="7" borderId="26" xfId="0" applyNumberFormat="1" applyFont="1" applyFill="1" applyBorder="1" applyAlignment="1">
      <alignment horizontal="center" vertical="center" wrapText="1"/>
    </xf>
    <xf numFmtId="2" fontId="4" fillId="4" borderId="10" xfId="0" applyNumberFormat="1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3" fontId="8" fillId="3" borderId="15" xfId="0" applyNumberFormat="1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5" borderId="15" xfId="0" applyNumberFormat="1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43" fontId="3" fillId="3" borderId="15" xfId="0" applyNumberFormat="1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5" borderId="15" xfId="0" applyNumberFormat="1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43" fontId="5" fillId="3" borderId="19" xfId="0" applyNumberFormat="1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5" borderId="19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49" fontId="5" fillId="7" borderId="33" xfId="0" applyNumberFormat="1" applyFont="1" applyFill="1" applyBorder="1" applyAlignment="1">
      <alignment horizontal="center" vertical="center" wrapText="1"/>
    </xf>
    <xf numFmtId="0" fontId="8" fillId="9" borderId="2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7" fillId="6" borderId="37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3" fontId="8" fillId="3" borderId="23" xfId="0" applyNumberFormat="1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5" borderId="23" xfId="0" applyNumberFormat="1" applyFont="1" applyFill="1" applyBorder="1" applyAlignment="1">
      <alignment horizontal="center" vertical="center" wrapText="1"/>
    </xf>
    <xf numFmtId="43" fontId="4" fillId="8" borderId="10" xfId="0" applyNumberFormat="1" applyFont="1" applyFill="1" applyBorder="1" applyAlignment="1">
      <alignment horizontal="center" vertical="center" wrapText="1"/>
    </xf>
    <xf numFmtId="43" fontId="4" fillId="10" borderId="10" xfId="0" applyNumberFormat="1" applyFont="1" applyFill="1" applyBorder="1" applyAlignment="1">
      <alignment horizontal="center" vertical="center" wrapText="1"/>
    </xf>
    <xf numFmtId="0" fontId="0" fillId="3" borderId="42" xfId="0" applyNumberForma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top" wrapText="1"/>
    </xf>
    <xf numFmtId="43" fontId="4" fillId="8" borderId="15" xfId="0" applyNumberFormat="1" applyFont="1" applyFill="1" applyBorder="1" applyAlignment="1">
      <alignment horizontal="center" vertical="center" wrapText="1"/>
    </xf>
    <xf numFmtId="0" fontId="0" fillId="3" borderId="43" xfId="0" applyNumberForma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vertical="center" wrapText="1"/>
    </xf>
    <xf numFmtId="43" fontId="8" fillId="11" borderId="13" xfId="0" applyNumberFormat="1" applyFont="1" applyFill="1" applyBorder="1" applyAlignment="1">
      <alignment horizontal="center" vertical="center"/>
    </xf>
    <xf numFmtId="0" fontId="0" fillId="11" borderId="0" xfId="0" applyFill="1"/>
    <xf numFmtId="0" fontId="8" fillId="11" borderId="15" xfId="0" applyFont="1" applyFill="1" applyBorder="1" applyAlignment="1">
      <alignment horizontal="center" vertical="center" wrapText="1"/>
    </xf>
    <xf numFmtId="43" fontId="8" fillId="11" borderId="15" xfId="0" applyNumberFormat="1" applyFont="1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5" fillId="11" borderId="15" xfId="0" applyFont="1" applyFill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/>
    </xf>
    <xf numFmtId="0" fontId="0" fillId="10" borderId="43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 wrapText="1"/>
    </xf>
    <xf numFmtId="0" fontId="8" fillId="11" borderId="23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43" fontId="3" fillId="8" borderId="15" xfId="0" applyNumberFormat="1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/>
    </xf>
    <xf numFmtId="0" fontId="2" fillId="10" borderId="38" xfId="0" applyFont="1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/>
    </xf>
    <xf numFmtId="43" fontId="3" fillId="8" borderId="19" xfId="0" applyNumberFormat="1" applyFont="1" applyFill="1" applyBorder="1" applyAlignment="1">
      <alignment horizontal="center" vertical="center" wrapText="1"/>
    </xf>
    <xf numFmtId="0" fontId="7" fillId="6" borderId="44" xfId="0" applyFont="1" applyFill="1" applyBorder="1" applyAlignment="1">
      <alignment horizontal="center" vertical="center"/>
    </xf>
    <xf numFmtId="10" fontId="2" fillId="10" borderId="45" xfId="0" applyNumberFormat="1" applyFont="1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/>
    </xf>
    <xf numFmtId="43" fontId="4" fillId="11" borderId="13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3" fontId="3" fillId="11" borderId="15" xfId="0" applyNumberFormat="1" applyFont="1" applyFill="1" applyBorder="1" applyAlignment="1">
      <alignment horizontal="center" vertical="center" wrapText="1"/>
    </xf>
    <xf numFmtId="43" fontId="3" fillId="11" borderId="23" xfId="0" applyNumberFormat="1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169" fontId="4" fillId="8" borderId="10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169" fontId="4" fillId="8" borderId="15" xfId="0" applyNumberFormat="1" applyFont="1" applyFill="1" applyBorder="1" applyAlignment="1">
      <alignment horizontal="center" vertical="center" wrapText="1"/>
    </xf>
    <xf numFmtId="0" fontId="2" fillId="10" borderId="45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43" fontId="0" fillId="0" borderId="13" xfId="0" applyNumberForma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43" fontId="0" fillId="0" borderId="23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43" fontId="5" fillId="0" borderId="15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7" xfId="0" applyBorder="1"/>
    <xf numFmtId="0" fontId="0" fillId="0" borderId="28" xfId="0" applyBorder="1"/>
    <xf numFmtId="169" fontId="8" fillId="0" borderId="15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13" xfId="0" applyBorder="1"/>
    <xf numFmtId="169" fontId="8" fillId="0" borderId="23" xfId="0" applyNumberFormat="1" applyFont="1" applyBorder="1" applyAlignment="1">
      <alignment horizontal="center" vertical="center" wrapText="1"/>
    </xf>
    <xf numFmtId="0" fontId="0" fillId="0" borderId="15" xfId="0" applyBorder="1"/>
    <xf numFmtId="0" fontId="8" fillId="4" borderId="10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7" fillId="6" borderId="49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 wrapText="1"/>
    </xf>
    <xf numFmtId="0" fontId="7" fillId="11" borderId="0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68" fontId="9" fillId="8" borderId="15" xfId="0" applyNumberFormat="1" applyFont="1" applyFill="1" applyBorder="1" applyAlignment="1">
      <alignment horizontal="center" vertical="center"/>
    </xf>
    <xf numFmtId="168" fontId="9" fillId="8" borderId="10" xfId="0" applyNumberFormat="1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43" fontId="2" fillId="0" borderId="13" xfId="0" applyNumberFormat="1" applyFont="1" applyBorder="1" applyAlignment="1">
      <alignment horizontal="center" vertical="center" wrapText="1"/>
    </xf>
    <xf numFmtId="0" fontId="0" fillId="10" borderId="13" xfId="0" applyFill="1" applyBorder="1"/>
    <xf numFmtId="0" fontId="2" fillId="10" borderId="40" xfId="0" applyFont="1" applyFill="1" applyBorder="1" applyAlignment="1">
      <alignment horizontal="center" vertical="center" wrapText="1"/>
    </xf>
    <xf numFmtId="43" fontId="2" fillId="0" borderId="15" xfId="0" applyNumberFormat="1" applyFont="1" applyBorder="1" applyAlignment="1">
      <alignment horizontal="center" vertical="center" wrapText="1"/>
    </xf>
    <xf numFmtId="0" fontId="0" fillId="10" borderId="15" xfId="0" applyFill="1" applyBorder="1"/>
    <xf numFmtId="0" fontId="5" fillId="11" borderId="1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5" fillId="11" borderId="23" xfId="0" applyFont="1" applyFill="1" applyBorder="1" applyAlignment="1">
      <alignment horizontal="center" vertical="center" wrapText="1"/>
    </xf>
    <xf numFmtId="170" fontId="4" fillId="8" borderId="10" xfId="0" applyNumberFormat="1" applyFont="1" applyFill="1" applyBorder="1" applyAlignment="1">
      <alignment horizontal="center" vertical="center" wrapText="1"/>
    </xf>
    <xf numFmtId="171" fontId="4" fillId="4" borderId="10" xfId="0" applyNumberFormat="1" applyFont="1" applyFill="1" applyBorder="1" applyAlignment="1">
      <alignment horizontal="center" vertical="center" wrapText="1"/>
    </xf>
    <xf numFmtId="170" fontId="4" fillId="8" borderId="15" xfId="0" applyNumberFormat="1" applyFont="1" applyFill="1" applyBorder="1" applyAlignment="1">
      <alignment horizontal="center" vertical="center" wrapText="1"/>
    </xf>
    <xf numFmtId="0" fontId="7" fillId="6" borderId="51" xfId="0" applyFont="1" applyFill="1" applyBorder="1" applyAlignment="1">
      <alignment horizontal="center" vertical="center" wrapText="1"/>
    </xf>
    <xf numFmtId="170" fontId="4" fillId="8" borderId="19" xfId="0" applyNumberFormat="1" applyFont="1" applyFill="1" applyBorder="1" applyAlignment="1">
      <alignment horizontal="center" vertical="center" wrapText="1"/>
    </xf>
    <xf numFmtId="43" fontId="8" fillId="3" borderId="19" xfId="0" applyNumberFormat="1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5" borderId="19" xfId="0" applyNumberFormat="1" applyFont="1" applyFill="1" applyBorder="1" applyAlignment="1">
      <alignment horizontal="center" vertical="center" wrapText="1"/>
    </xf>
    <xf numFmtId="170" fontId="5" fillId="0" borderId="13" xfId="0" applyNumberFormat="1" applyFont="1" applyBorder="1" applyAlignment="1">
      <alignment horizontal="center" vertical="center" wrapText="1"/>
    </xf>
    <xf numFmtId="170" fontId="5" fillId="0" borderId="15" xfId="0" applyNumberFormat="1" applyFont="1" applyBorder="1" applyAlignment="1">
      <alignment horizontal="center" vertical="center" wrapText="1"/>
    </xf>
    <xf numFmtId="0" fontId="0" fillId="6" borderId="49" xfId="0" applyFill="1" applyBorder="1" applyAlignment="1">
      <alignment horizontal="center" vertical="center"/>
    </xf>
    <xf numFmtId="170" fontId="5" fillId="0" borderId="23" xfId="0" applyNumberFormat="1" applyFont="1" applyBorder="1" applyAlignment="1">
      <alignment horizontal="center" vertical="center" wrapText="1"/>
    </xf>
    <xf numFmtId="2" fontId="4" fillId="10" borderId="10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43" fontId="0" fillId="10" borderId="15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10" borderId="47" xfId="0" applyFill="1" applyBorder="1" applyAlignment="1">
      <alignment horizontal="center" vertical="center" wrapText="1"/>
    </xf>
    <xf numFmtId="0" fontId="7" fillId="6" borderId="5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/>
    </xf>
    <xf numFmtId="43" fontId="0" fillId="0" borderId="0" xfId="0" applyNumberFormat="1" applyBorder="1" applyAlignment="1">
      <alignment horizontal="center" vertical="center" wrapText="1"/>
    </xf>
    <xf numFmtId="0" fontId="7" fillId="6" borderId="53" xfId="0" applyFont="1" applyFill="1" applyBorder="1" applyAlignment="1">
      <alignment horizontal="center" vertical="center"/>
    </xf>
    <xf numFmtId="2" fontId="4" fillId="4" borderId="15" xfId="0" applyNumberFormat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4" fillId="6" borderId="32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11" borderId="15" xfId="0" applyFont="1" applyFill="1" applyBorder="1" applyAlignment="1">
      <alignment horizontal="center" vertical="center" wrapText="1"/>
    </xf>
    <xf numFmtId="171" fontId="4" fillId="3" borderId="15" xfId="0" applyNumberFormat="1" applyFont="1" applyFill="1" applyBorder="1" applyAlignment="1">
      <alignment horizontal="right" vertical="center" wrapText="1"/>
    </xf>
    <xf numFmtId="0" fontId="14" fillId="6" borderId="44" xfId="0" applyFont="1" applyFill="1" applyBorder="1" applyAlignment="1">
      <alignment horizontal="center" vertical="center"/>
    </xf>
    <xf numFmtId="0" fontId="14" fillId="6" borderId="32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8" fillId="11" borderId="23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 wrapText="1"/>
    </xf>
    <xf numFmtId="49" fontId="5" fillId="7" borderId="9" xfId="0" applyNumberFormat="1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16" fillId="6" borderId="35" xfId="0" applyFont="1" applyFill="1" applyBorder="1" applyAlignment="1">
      <alignment horizontal="center" vertical="center" wrapText="1"/>
    </xf>
    <xf numFmtId="0" fontId="16" fillId="6" borderId="35" xfId="0" applyFont="1" applyFill="1" applyBorder="1" applyAlignment="1">
      <alignment horizontal="center" vertical="center"/>
    </xf>
    <xf numFmtId="0" fontId="16" fillId="6" borderId="36" xfId="0" applyFont="1" applyFill="1" applyBorder="1" applyAlignment="1">
      <alignment horizontal="center" vertical="center"/>
    </xf>
    <xf numFmtId="49" fontId="5" fillId="7" borderId="18" xfId="0" applyNumberFormat="1" applyFont="1" applyFill="1" applyBorder="1" applyAlignment="1">
      <alignment horizontal="center" vertical="center" wrapText="1"/>
    </xf>
    <xf numFmtId="49" fontId="5" fillId="12" borderId="21" xfId="0" applyNumberFormat="1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49" fontId="5" fillId="12" borderId="14" xfId="0" applyNumberFormat="1" applyFont="1" applyFill="1" applyBorder="1" applyAlignment="1">
      <alignment horizontal="center" vertical="center" wrapText="1"/>
    </xf>
    <xf numFmtId="0" fontId="1" fillId="3" borderId="16" xfId="0" applyNumberFormat="1" applyFont="1" applyFill="1" applyBorder="1" applyAlignment="1">
      <alignment horizontal="center" vertical="center"/>
    </xf>
    <xf numFmtId="0" fontId="4" fillId="11" borderId="15" xfId="0" applyFont="1" applyFill="1" applyBorder="1" applyAlignment="1">
      <alignment horizontal="center" vertical="center" wrapText="1"/>
    </xf>
    <xf numFmtId="49" fontId="5" fillId="12" borderId="33" xfId="0" applyNumberFormat="1" applyFont="1" applyFill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 wrapText="1"/>
    </xf>
    <xf numFmtId="43" fontId="8" fillId="3" borderId="13" xfId="0" applyNumberFormat="1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5" borderId="13" xfId="0" applyNumberFormat="1" applyFont="1" applyFill="1" applyBorder="1" applyAlignment="1">
      <alignment horizontal="center" vertical="center" wrapText="1"/>
    </xf>
    <xf numFmtId="0" fontId="4" fillId="11" borderId="23" xfId="0" applyFont="1" applyFill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vertical="center" wrapText="1"/>
    </xf>
    <xf numFmtId="0" fontId="6" fillId="6" borderId="59" xfId="0" applyFont="1" applyFill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6" fillId="6" borderId="60" xfId="0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0" fontId="8" fillId="11" borderId="19" xfId="0" applyFont="1" applyFill="1" applyBorder="1" applyAlignment="1">
      <alignment horizontal="center" vertical="center" wrapText="1"/>
    </xf>
    <xf numFmtId="49" fontId="3" fillId="12" borderId="18" xfId="0" applyNumberFormat="1" applyFont="1" applyFill="1" applyBorder="1" applyAlignment="1">
      <alignment horizontal="center" vertical="center" wrapText="1"/>
    </xf>
    <xf numFmtId="0" fontId="3" fillId="12" borderId="19" xfId="0" applyFont="1" applyFill="1" applyBorder="1" applyAlignment="1">
      <alignment horizontal="center" vertical="center" wrapText="1"/>
    </xf>
    <xf numFmtId="168" fontId="3" fillId="12" borderId="19" xfId="0" applyNumberFormat="1" applyFont="1" applyFill="1" applyBorder="1" applyAlignment="1">
      <alignment horizontal="center" vertical="center" wrapText="1"/>
    </xf>
    <xf numFmtId="43" fontId="3" fillId="3" borderId="19" xfId="0" applyNumberFormat="1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5" borderId="19" xfId="0" applyNumberFormat="1" applyFont="1" applyFill="1" applyBorder="1" applyAlignment="1">
      <alignment horizontal="center" vertical="center" wrapText="1"/>
    </xf>
    <xf numFmtId="0" fontId="8" fillId="0" borderId="0" xfId="0" applyFont="1"/>
    <xf numFmtId="43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3" fillId="2" borderId="61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15" fillId="0" borderId="0" xfId="0" applyFont="1"/>
    <xf numFmtId="49" fontId="3" fillId="2" borderId="67" xfId="0" applyNumberFormat="1" applyFont="1" applyFill="1" applyBorder="1" applyAlignment="1" applyProtection="1">
      <alignment horizontal="center" wrapText="1"/>
      <protection locked="0"/>
    </xf>
    <xf numFmtId="0" fontId="3" fillId="2" borderId="68" xfId="0" applyFont="1" applyFill="1" applyBorder="1" applyAlignment="1" applyProtection="1">
      <alignment horizontal="center" wrapText="1"/>
      <protection locked="0"/>
    </xf>
    <xf numFmtId="0" fontId="3" fillId="2" borderId="69" xfId="0" applyFont="1" applyFill="1" applyBorder="1" applyAlignment="1" applyProtection="1">
      <alignment horizontal="center" wrapText="1"/>
      <protection locked="0"/>
    </xf>
    <xf numFmtId="168" fontId="5" fillId="2" borderId="70" xfId="0" applyNumberFormat="1" applyFont="1" applyFill="1" applyBorder="1" applyAlignment="1" applyProtection="1">
      <alignment horizontal="center" wrapText="1"/>
      <protection locked="0"/>
    </xf>
    <xf numFmtId="168" fontId="5" fillId="2" borderId="69" xfId="0" applyNumberFormat="1" applyFont="1" applyFill="1" applyBorder="1" applyAlignment="1" applyProtection="1">
      <alignment horizontal="center" wrapText="1"/>
      <protection locked="0"/>
    </xf>
    <xf numFmtId="49" fontId="3" fillId="7" borderId="73" xfId="0" applyNumberFormat="1" applyFont="1" applyFill="1" applyBorder="1" applyAlignment="1" applyProtection="1">
      <alignment horizontal="center" vertical="top" wrapText="1"/>
      <protection locked="0"/>
    </xf>
    <xf numFmtId="0" fontId="4" fillId="8" borderId="10" xfId="0" applyFont="1" applyFill="1" applyBorder="1" applyAlignment="1" applyProtection="1">
      <alignment horizontal="center" vertical="top" wrapText="1"/>
      <protection locked="0"/>
    </xf>
    <xf numFmtId="168" fontId="4" fillId="8" borderId="10" xfId="0" applyNumberFormat="1" applyFont="1" applyFill="1" applyBorder="1" applyAlignment="1" applyProtection="1">
      <alignment horizontal="right" vertical="top" wrapText="1"/>
      <protection locked="0"/>
    </xf>
    <xf numFmtId="43" fontId="4" fillId="3" borderId="10" xfId="0" applyNumberFormat="1" applyFont="1" applyFill="1" applyBorder="1" applyAlignment="1" applyProtection="1">
      <alignment horizontal="center" vertical="center" wrapText="1"/>
      <protection locked="0"/>
    </xf>
    <xf numFmtId="168" fontId="4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0" xfId="0" applyFont="1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49" fontId="3" fillId="7" borderId="61" xfId="0" applyNumberFormat="1" applyFont="1" applyFill="1" applyBorder="1" applyAlignment="1" applyProtection="1">
      <alignment horizontal="center" vertical="top" wrapText="1"/>
      <protection locked="0"/>
    </xf>
    <xf numFmtId="0" fontId="4" fillId="8" borderId="15" xfId="0" applyFont="1" applyFill="1" applyBorder="1" applyAlignment="1" applyProtection="1">
      <alignment horizontal="center" vertical="top" wrapText="1"/>
      <protection locked="0"/>
    </xf>
    <xf numFmtId="168" fontId="4" fillId="8" borderId="15" xfId="0" applyNumberFormat="1" applyFont="1" applyFill="1" applyBorder="1" applyAlignment="1" applyProtection="1">
      <alignment horizontal="right" vertical="top" wrapText="1"/>
      <protection locked="0"/>
    </xf>
    <xf numFmtId="43" fontId="4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5" borderId="15" xfId="0" applyFont="1" applyFill="1" applyBorder="1" applyAlignment="1" applyProtection="1">
      <alignment horizontal="center" vertical="center" wrapText="1"/>
      <protection locked="0"/>
    </xf>
    <xf numFmtId="0" fontId="0" fillId="5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49" fontId="3" fillId="7" borderId="67" xfId="0" applyNumberFormat="1" applyFont="1" applyFill="1" applyBorder="1" applyAlignment="1" applyProtection="1">
      <alignment horizontal="center" vertical="top" wrapText="1"/>
      <protection locked="0"/>
    </xf>
    <xf numFmtId="0" fontId="4" fillId="8" borderId="19" xfId="0" applyFont="1" applyFill="1" applyBorder="1" applyAlignment="1" applyProtection="1">
      <alignment horizontal="center" vertical="center" wrapText="1"/>
      <protection locked="0"/>
    </xf>
    <xf numFmtId="168" fontId="4" fillId="8" borderId="19" xfId="0" applyNumberFormat="1" applyFont="1" applyFill="1" applyBorder="1" applyAlignment="1" applyProtection="1">
      <alignment horizontal="right" vertical="top" wrapText="1"/>
      <protection locked="0"/>
    </xf>
    <xf numFmtId="43" fontId="4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9" xfId="0" applyFont="1" applyFill="1" applyBorder="1" applyAlignment="1" applyProtection="1">
      <alignment horizontal="center" vertical="center" wrapText="1"/>
      <protection locked="0"/>
    </xf>
    <xf numFmtId="0" fontId="4" fillId="5" borderId="19" xfId="0" applyFont="1" applyFill="1" applyBorder="1" applyAlignment="1" applyProtection="1">
      <alignment horizontal="center" vertical="center" wrapText="1"/>
      <protection locked="0"/>
    </xf>
    <xf numFmtId="0" fontId="0" fillId="5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49" fontId="5" fillId="7" borderId="73" xfId="0" applyNumberFormat="1" applyFont="1" applyFill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 applyProtection="1">
      <alignment horizontal="center" vertical="top" wrapText="1"/>
      <protection locked="0"/>
    </xf>
    <xf numFmtId="168" fontId="15" fillId="0" borderId="13" xfId="0" applyNumberFormat="1" applyFont="1" applyBorder="1" applyAlignment="1" applyProtection="1">
      <alignment horizontal="right" vertical="center" wrapText="1"/>
      <protection locked="0"/>
    </xf>
    <xf numFmtId="43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3" xfId="0" applyFont="1" applyFill="1" applyBorder="1" applyAlignment="1" applyProtection="1">
      <alignment horizontal="center" vertical="center" wrapText="1"/>
      <protection locked="0"/>
    </xf>
    <xf numFmtId="0" fontId="4" fillId="5" borderId="13" xfId="0" applyFont="1" applyFill="1" applyBorder="1" applyAlignment="1" applyProtection="1">
      <alignment horizontal="center" vertical="center" wrapText="1"/>
      <protection locked="0"/>
    </xf>
    <xf numFmtId="0" fontId="0" fillId="5" borderId="1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49" fontId="5" fillId="7" borderId="67" xfId="0" applyNumberFormat="1" applyFont="1" applyFill="1" applyBorder="1" applyAlignment="1" applyProtection="1">
      <alignment horizontal="center" vertical="top" wrapText="1"/>
      <protection locked="0"/>
    </xf>
    <xf numFmtId="0" fontId="5" fillId="0" borderId="15" xfId="0" applyFont="1" applyBorder="1" applyAlignment="1" applyProtection="1">
      <alignment horizontal="center" vertical="top" wrapText="1"/>
      <protection locked="0"/>
    </xf>
    <xf numFmtId="0" fontId="15" fillId="0" borderId="15" xfId="0" applyFont="1" applyBorder="1" applyAlignment="1" applyProtection="1">
      <alignment horizontal="right" vertical="center"/>
      <protection locked="0"/>
    </xf>
    <xf numFmtId="0" fontId="5" fillId="4" borderId="15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 applyAlignment="1">
      <alignment horizontal="center" vertical="center"/>
    </xf>
    <xf numFmtId="168" fontId="15" fillId="0" borderId="15" xfId="0" applyNumberFormat="1" applyFont="1" applyBorder="1" applyAlignment="1" applyProtection="1">
      <alignment horizontal="right" vertical="center" wrapText="1"/>
      <protection locked="0"/>
    </xf>
    <xf numFmtId="49" fontId="5" fillId="7" borderId="61" xfId="0" applyNumberFormat="1" applyFont="1" applyFill="1" applyBorder="1" applyAlignment="1" applyProtection="1">
      <alignment horizontal="center" vertical="top" wrapText="1"/>
      <protection locked="0"/>
    </xf>
    <xf numFmtId="0" fontId="0" fillId="7" borderId="0" xfId="0" applyFill="1" applyProtection="1"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right" vertical="center"/>
      <protection locked="0"/>
    </xf>
    <xf numFmtId="43" fontId="4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0" fillId="5" borderId="23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 vertical="top" wrapText="1"/>
      <protection locked="0"/>
    </xf>
    <xf numFmtId="168" fontId="15" fillId="0" borderId="23" xfId="0" applyNumberFormat="1" applyFont="1" applyBorder="1" applyAlignment="1" applyProtection="1">
      <alignment horizontal="right" vertical="center" wrapText="1"/>
      <protection locked="0"/>
    </xf>
    <xf numFmtId="168" fontId="4" fillId="8" borderId="10" xfId="0" applyNumberFormat="1" applyFont="1" applyFill="1" applyBorder="1" applyAlignment="1" applyProtection="1">
      <alignment horizontal="center" vertical="top" wrapText="1"/>
      <protection locked="0"/>
    </xf>
    <xf numFmtId="168" fontId="4" fillId="8" borderId="15" xfId="0" applyNumberFormat="1" applyFont="1" applyFill="1" applyBorder="1" applyAlignment="1" applyProtection="1">
      <alignment horizontal="center" vertical="top" wrapText="1"/>
      <protection locked="0"/>
    </xf>
    <xf numFmtId="0" fontId="8" fillId="8" borderId="19" xfId="0" applyFont="1" applyFill="1" applyBorder="1" applyAlignment="1" applyProtection="1">
      <alignment horizontal="center" vertical="top" wrapText="1"/>
      <protection locked="0"/>
    </xf>
    <xf numFmtId="168" fontId="8" fillId="8" borderId="19" xfId="0" applyNumberFormat="1" applyFont="1" applyFill="1" applyBorder="1" applyAlignment="1" applyProtection="1">
      <alignment horizontal="center" vertical="top" wrapText="1"/>
      <protection locked="0"/>
    </xf>
    <xf numFmtId="168" fontId="4" fillId="8" borderId="19" xfId="0" applyNumberFormat="1" applyFont="1" applyFill="1" applyBorder="1" applyAlignment="1" applyProtection="1">
      <alignment horizontal="center" vertical="top" wrapText="1"/>
      <protection locked="0"/>
    </xf>
    <xf numFmtId="0" fontId="8" fillId="0" borderId="13" xfId="0" applyFont="1" applyBorder="1" applyAlignment="1" applyProtection="1">
      <alignment horizontal="center" vertical="top" wrapText="1"/>
      <protection locked="0"/>
    </xf>
    <xf numFmtId="168" fontId="5" fillId="0" borderId="13" xfId="0" applyNumberFormat="1" applyFont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 applyProtection="1">
      <alignment horizontal="center" vertical="top" wrapText="1"/>
      <protection locked="0"/>
    </xf>
    <xf numFmtId="168" fontId="5" fillId="0" borderId="15" xfId="0" applyNumberFormat="1" applyFont="1" applyBorder="1" applyAlignment="1" applyProtection="1">
      <alignment horizontal="center" vertical="top" wrapText="1"/>
      <protection locked="0"/>
    </xf>
    <xf numFmtId="0" fontId="8" fillId="9" borderId="15" xfId="0" applyFont="1" applyFill="1" applyBorder="1" applyAlignment="1" applyProtection="1">
      <alignment horizontal="center" vertical="top" wrapText="1"/>
      <protection locked="0"/>
    </xf>
    <xf numFmtId="0" fontId="0" fillId="9" borderId="15" xfId="0" applyFill="1" applyBorder="1" applyAlignment="1">
      <alignment horizontal="center" vertical="center"/>
    </xf>
    <xf numFmtId="168" fontId="5" fillId="9" borderId="15" xfId="0" applyNumberFormat="1" applyFont="1" applyFill="1" applyBorder="1" applyAlignment="1" applyProtection="1">
      <alignment horizontal="center" vertical="top" wrapText="1"/>
      <protection locked="0"/>
    </xf>
    <xf numFmtId="43" fontId="4" fillId="9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9" borderId="23" xfId="0" applyFont="1" applyFill="1" applyBorder="1" applyAlignment="1" applyProtection="1">
      <alignment horizontal="center" vertical="top" wrapText="1"/>
      <protection locked="0"/>
    </xf>
    <xf numFmtId="168" fontId="5" fillId="9" borderId="23" xfId="0" applyNumberFormat="1" applyFont="1" applyFill="1" applyBorder="1" applyAlignment="1" applyProtection="1">
      <alignment horizontal="center" vertical="top" wrapText="1"/>
      <protection locked="0"/>
    </xf>
    <xf numFmtId="43" fontId="4" fillId="9" borderId="23" xfId="0" applyNumberFormat="1" applyFont="1" applyFill="1" applyBorder="1" applyAlignment="1" applyProtection="1">
      <alignment horizontal="center" vertical="center" wrapText="1"/>
      <protection locked="0"/>
    </xf>
    <xf numFmtId="173" fontId="4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53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 applyProtection="1">
      <alignment horizontal="center" vertical="top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6" fillId="6" borderId="31" xfId="0" applyFont="1" applyFill="1" applyBorder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6" fillId="6" borderId="53" xfId="0" applyFont="1" applyFill="1" applyBorder="1" applyAlignment="1">
      <alignment horizontal="center" vertical="center"/>
    </xf>
    <xf numFmtId="0" fontId="8" fillId="0" borderId="23" xfId="0" applyFont="1" applyBorder="1" applyAlignment="1" applyProtection="1">
      <alignment horizontal="center" vertical="top" wrapText="1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4" fillId="9" borderId="57" xfId="0" applyFont="1" applyFill="1" applyBorder="1" applyAlignment="1" applyProtection="1">
      <alignment horizontal="center" vertical="top" wrapText="1"/>
      <protection locked="0"/>
    </xf>
    <xf numFmtId="0" fontId="4" fillId="9" borderId="35" xfId="0" applyFont="1" applyFill="1" applyBorder="1" applyAlignment="1" applyProtection="1">
      <alignment horizontal="center" vertical="top" wrapText="1"/>
      <protection locked="0"/>
    </xf>
    <xf numFmtId="0" fontId="0" fillId="9" borderId="36" xfId="0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/>
    </xf>
    <xf numFmtId="0" fontId="15" fillId="11" borderId="0" xfId="0" applyFont="1" applyFill="1"/>
    <xf numFmtId="0" fontId="8" fillId="9" borderId="13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43" fontId="5" fillId="9" borderId="15" xfId="0" applyNumberFormat="1" applyFont="1" applyFill="1" applyBorder="1" applyAlignment="1" applyProtection="1">
      <alignment horizontal="center" vertical="top" wrapText="1"/>
      <protection locked="0"/>
    </xf>
    <xf numFmtId="168" fontId="3" fillId="8" borderId="15" xfId="0" applyNumberFormat="1" applyFont="1" applyFill="1" applyBorder="1" applyAlignment="1" applyProtection="1">
      <alignment horizontal="center" vertical="top" wrapText="1"/>
      <protection locked="0"/>
    </xf>
    <xf numFmtId="0" fontId="6" fillId="6" borderId="32" xfId="0" applyFont="1" applyFill="1" applyBorder="1" applyAlignment="1">
      <alignment horizontal="center" vertical="center"/>
    </xf>
    <xf numFmtId="0" fontId="15" fillId="0" borderId="13" xfId="0" applyFont="1" applyBorder="1"/>
    <xf numFmtId="168" fontId="3" fillId="8" borderId="19" xfId="0" applyNumberFormat="1" applyFont="1" applyFill="1" applyBorder="1" applyAlignment="1" applyProtection="1">
      <alignment horizontal="center" vertical="top" wrapText="1"/>
      <protection locked="0"/>
    </xf>
    <xf numFmtId="0" fontId="6" fillId="6" borderId="7" xfId="0" applyFont="1" applyFill="1" applyBorder="1" applyAlignment="1">
      <alignment horizontal="center" vertical="center"/>
    </xf>
    <xf numFmtId="0" fontId="15" fillId="0" borderId="15" xfId="0" applyFont="1" applyBorder="1"/>
    <xf numFmtId="0" fontId="5" fillId="11" borderId="13" xfId="0" applyFont="1" applyFill="1" applyBorder="1" applyAlignment="1" applyProtection="1">
      <alignment horizontal="center" vertical="top" wrapText="1"/>
      <protection locked="0"/>
    </xf>
    <xf numFmtId="0" fontId="8" fillId="11" borderId="13" xfId="0" applyFont="1" applyFill="1" applyBorder="1" applyAlignment="1" applyProtection="1">
      <alignment horizontal="center" vertical="top" wrapText="1"/>
      <protection locked="0"/>
    </xf>
    <xf numFmtId="0" fontId="15" fillId="0" borderId="40" xfId="0" applyFont="1" applyBorder="1"/>
    <xf numFmtId="0" fontId="5" fillId="11" borderId="15" xfId="0" applyFont="1" applyFill="1" applyBorder="1" applyAlignment="1" applyProtection="1">
      <alignment horizontal="center" vertical="top" wrapText="1"/>
      <protection locked="0"/>
    </xf>
    <xf numFmtId="0" fontId="8" fillId="11" borderId="15" xfId="0" applyFont="1" applyFill="1" applyBorder="1" applyAlignment="1" applyProtection="1">
      <alignment horizontal="center" vertical="top" wrapText="1"/>
      <protection locked="0"/>
    </xf>
    <xf numFmtId="0" fontId="8" fillId="11" borderId="23" xfId="0" applyFont="1" applyFill="1" applyBorder="1" applyAlignment="1" applyProtection="1">
      <alignment horizontal="center" vertical="top" wrapText="1"/>
      <protection locked="0"/>
    </xf>
    <xf numFmtId="168" fontId="4" fillId="8" borderId="10" xfId="0" applyNumberFormat="1" applyFont="1" applyFill="1" applyBorder="1" applyAlignment="1" applyProtection="1">
      <alignment horizontal="center" vertical="center" wrapText="1"/>
      <protection locked="0"/>
    </xf>
    <xf numFmtId="168" fontId="4" fillId="8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8" xfId="0" applyFont="1" applyBorder="1"/>
    <xf numFmtId="0" fontId="3" fillId="8" borderId="19" xfId="0" applyFont="1" applyFill="1" applyBorder="1" applyAlignment="1" applyProtection="1">
      <alignment horizontal="center" vertical="top" wrapText="1"/>
      <protection locked="0"/>
    </xf>
    <xf numFmtId="43" fontId="4" fillId="8" borderId="19" xfId="0" applyNumberFormat="1" applyFont="1" applyFill="1" applyBorder="1" applyAlignment="1" applyProtection="1">
      <alignment horizontal="center" vertical="center" wrapText="1"/>
      <protection locked="0"/>
    </xf>
    <xf numFmtId="43" fontId="8" fillId="0" borderId="13" xfId="0" applyNumberFormat="1" applyFont="1" applyBorder="1" applyAlignment="1" applyProtection="1">
      <alignment horizontal="center" vertical="center" wrapText="1"/>
      <protection locked="0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43" fontId="8" fillId="0" borderId="15" xfId="0" applyNumberFormat="1" applyFont="1" applyBorder="1" applyAlignment="1" applyProtection="1">
      <alignment horizontal="center" vertical="center" wrapText="1"/>
      <protection locked="0"/>
    </xf>
    <xf numFmtId="0" fontId="15" fillId="11" borderId="0" xfId="0" applyFont="1" applyFill="1" applyAlignment="1">
      <alignment horizontal="center" vertical="center"/>
    </xf>
    <xf numFmtId="0" fontId="15" fillId="11" borderId="40" xfId="0" applyFont="1" applyFill="1" applyBorder="1" applyAlignment="1">
      <alignment horizontal="center" vertical="center"/>
    </xf>
    <xf numFmtId="43" fontId="8" fillId="0" borderId="15" xfId="0" applyNumberFormat="1" applyFont="1" applyBorder="1" applyAlignment="1" applyProtection="1">
      <alignment vertical="center" wrapText="1"/>
      <protection locked="0"/>
    </xf>
    <xf numFmtId="168" fontId="5" fillId="0" borderId="23" xfId="0" applyNumberFormat="1" applyFont="1" applyBorder="1" applyAlignment="1" applyProtection="1">
      <alignment horizontal="center" vertical="top" wrapText="1"/>
      <protection locked="0"/>
    </xf>
    <xf numFmtId="173" fontId="4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10" borderId="0" xfId="0" applyFont="1" applyFill="1" applyAlignment="1">
      <alignment horizontal="center" vertical="center"/>
    </xf>
    <xf numFmtId="0" fontId="15" fillId="1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10" borderId="40" xfId="0" applyFont="1" applyFill="1" applyBorder="1" applyAlignment="1">
      <alignment horizontal="center" vertical="center"/>
    </xf>
    <xf numFmtId="0" fontId="15" fillId="1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" fillId="8" borderId="18" xfId="0" applyFont="1" applyFill="1" applyBorder="1" applyAlignment="1" applyProtection="1">
      <alignment horizontal="center" vertical="top" wrapText="1"/>
      <protection locked="0"/>
    </xf>
    <xf numFmtId="168" fontId="3" fillId="8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168" fontId="5" fillId="0" borderId="15" xfId="0" applyNumberFormat="1" applyFont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168" fontId="8" fillId="0" borderId="15" xfId="0" applyNumberFormat="1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9" borderId="15" xfId="0" applyFont="1" applyFill="1" applyBorder="1" applyAlignment="1" applyProtection="1">
      <alignment horizontal="center" vertical="center" wrapText="1"/>
      <protection locked="0"/>
    </xf>
    <xf numFmtId="0" fontId="5" fillId="9" borderId="23" xfId="0" applyFont="1" applyFill="1" applyBorder="1" applyAlignment="1" applyProtection="1">
      <alignment horizontal="center" vertical="center" wrapText="1"/>
      <protection locked="0"/>
    </xf>
    <xf numFmtId="0" fontId="4" fillId="8" borderId="9" xfId="0" applyFont="1" applyFill="1" applyBorder="1" applyAlignment="1" applyProtection="1">
      <alignment horizontal="center" vertical="top" wrapText="1"/>
      <protection locked="0"/>
    </xf>
    <xf numFmtId="0" fontId="4" fillId="8" borderId="10" xfId="0" applyFont="1" applyFill="1" applyBorder="1" applyAlignment="1" applyProtection="1">
      <alignment horizontal="center" vertical="center" wrapText="1"/>
      <protection locked="0"/>
    </xf>
    <xf numFmtId="168" fontId="5" fillId="8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14" xfId="0" applyFont="1" applyFill="1" applyBorder="1" applyAlignment="1" applyProtection="1">
      <alignment horizontal="center" vertical="top" wrapText="1"/>
      <protection locked="0"/>
    </xf>
    <xf numFmtId="0" fontId="4" fillId="8" borderId="15" xfId="0" applyFont="1" applyFill="1" applyBorder="1" applyAlignment="1" applyProtection="1">
      <alignment horizontal="center" vertical="center" wrapText="1"/>
      <protection locked="0"/>
    </xf>
    <xf numFmtId="168" fontId="4" fillId="8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19" xfId="0" applyFont="1" applyFill="1" applyBorder="1" applyAlignment="1" applyProtection="1">
      <alignment horizontal="center" vertical="center" wrapText="1"/>
      <protection locked="0"/>
    </xf>
    <xf numFmtId="0" fontId="5" fillId="11" borderId="13" xfId="0" applyFont="1" applyFill="1" applyBorder="1" applyAlignment="1" applyProtection="1">
      <alignment horizontal="center" vertical="center" wrapText="1"/>
      <protection locked="0"/>
    </xf>
    <xf numFmtId="169" fontId="3" fillId="11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5" fillId="11" borderId="15" xfId="0" applyFont="1" applyFill="1" applyBorder="1" applyAlignment="1" applyProtection="1">
      <alignment horizontal="center" vertical="center" wrapText="1"/>
      <protection locked="0"/>
    </xf>
    <xf numFmtId="169" fontId="3" fillId="11" borderId="15" xfId="0" applyNumberFormat="1" applyFont="1" applyFill="1" applyBorder="1" applyAlignment="1" applyProtection="1">
      <alignment horizontal="center" vertical="center" wrapText="1"/>
      <protection locked="0"/>
    </xf>
    <xf numFmtId="168" fontId="3" fillId="11" borderId="15" xfId="0" applyNumberFormat="1" applyFont="1" applyFill="1" applyBorder="1" applyAlignment="1" applyProtection="1">
      <alignment horizontal="center" vertical="center" wrapText="1"/>
      <protection locked="0"/>
    </xf>
    <xf numFmtId="169" fontId="4" fillId="11" borderId="15" xfId="0" applyNumberFormat="1" applyFont="1" applyFill="1" applyBorder="1" applyAlignment="1" applyProtection="1">
      <alignment horizontal="center" vertical="center"/>
      <protection locked="0"/>
    </xf>
    <xf numFmtId="49" fontId="5" fillId="7" borderId="70" xfId="0" applyNumberFormat="1" applyFont="1" applyFill="1" applyBorder="1" applyAlignment="1" applyProtection="1">
      <alignment horizontal="center" vertical="top" wrapText="1"/>
      <protection locked="0"/>
    </xf>
    <xf numFmtId="49" fontId="3" fillId="7" borderId="76" xfId="0" applyNumberFormat="1" applyFont="1" applyFill="1" applyBorder="1" applyAlignment="1" applyProtection="1">
      <alignment horizontal="center" vertical="top" wrapText="1"/>
      <protection locked="0"/>
    </xf>
    <xf numFmtId="0" fontId="6" fillId="6" borderId="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/>
    </xf>
    <xf numFmtId="49" fontId="3" fillId="7" borderId="77" xfId="0" applyNumberFormat="1" applyFont="1" applyFill="1" applyBorder="1" applyAlignment="1" applyProtection="1">
      <alignment horizontal="center" vertical="top" wrapText="1"/>
      <protection locked="0"/>
    </xf>
    <xf numFmtId="0" fontId="6" fillId="11" borderId="51" xfId="0" applyFont="1" applyFill="1" applyBorder="1" applyAlignment="1">
      <alignment horizontal="center" vertical="center" wrapText="1"/>
    </xf>
    <xf numFmtId="49" fontId="5" fillId="7" borderId="64" xfId="0" applyNumberFormat="1" applyFont="1" applyFill="1" applyBorder="1" applyAlignment="1" applyProtection="1">
      <alignment horizontal="center" vertical="top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6" fillId="11" borderId="29" xfId="0" applyFont="1" applyFill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center" wrapText="1"/>
      <protection locked="0"/>
    </xf>
    <xf numFmtId="49" fontId="5" fillId="7" borderId="76" xfId="0" applyNumberFormat="1" applyFont="1" applyFill="1" applyBorder="1" applyAlignment="1" applyProtection="1">
      <alignment horizontal="center" vertical="top" wrapText="1"/>
      <protection locked="0"/>
    </xf>
    <xf numFmtId="0" fontId="6" fillId="11" borderId="37" xfId="0" applyFont="1" applyFill="1" applyBorder="1" applyAlignment="1">
      <alignment horizontal="center" vertical="center" wrapText="1"/>
    </xf>
    <xf numFmtId="49" fontId="5" fillId="7" borderId="58" xfId="0" applyNumberFormat="1" applyFont="1" applyFill="1" applyBorder="1" applyAlignment="1" applyProtection="1">
      <alignment horizontal="center" vertical="top" wrapText="1"/>
      <protection locked="0"/>
    </xf>
    <xf numFmtId="0" fontId="6" fillId="11" borderId="39" xfId="0" applyFont="1" applyFill="1" applyBorder="1" applyAlignment="1">
      <alignment horizontal="center" vertical="center" wrapText="1"/>
    </xf>
    <xf numFmtId="168" fontId="8" fillId="0" borderId="15" xfId="0" applyNumberFormat="1" applyFont="1" applyBorder="1" applyAlignment="1" applyProtection="1">
      <alignment horizontal="center" vertical="top" wrapText="1"/>
      <protection locked="0"/>
    </xf>
    <xf numFmtId="49" fontId="3" fillId="7" borderId="78" xfId="0" applyNumberFormat="1" applyFont="1" applyFill="1" applyBorder="1" applyAlignment="1" applyProtection="1">
      <alignment horizontal="center" vertical="top" wrapText="1"/>
      <protection locked="0"/>
    </xf>
    <xf numFmtId="0" fontId="4" fillId="9" borderId="15" xfId="0" applyFont="1" applyFill="1" applyBorder="1" applyAlignment="1" applyProtection="1">
      <alignment horizontal="center" vertical="top" wrapText="1"/>
      <protection locked="0"/>
    </xf>
    <xf numFmtId="0" fontId="4" fillId="9" borderId="15" xfId="0" applyFont="1" applyFill="1" applyBorder="1" applyAlignment="1" applyProtection="1">
      <alignment horizontal="center" vertical="center" wrapText="1"/>
      <protection locked="0"/>
    </xf>
    <xf numFmtId="49" fontId="5" fillId="7" borderId="78" xfId="0" applyNumberFormat="1" applyFont="1" applyFill="1" applyBorder="1" applyAlignment="1" applyProtection="1">
      <alignment horizontal="center" vertical="top" wrapText="1"/>
      <protection locked="0"/>
    </xf>
    <xf numFmtId="0" fontId="6" fillId="11" borderId="7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  <protection locked="0"/>
    </xf>
    <xf numFmtId="0" fontId="15" fillId="11" borderId="8" xfId="0" applyFont="1" applyFill="1" applyBorder="1" applyAlignment="1">
      <alignment horizontal="center" vertical="center"/>
    </xf>
    <xf numFmtId="0" fontId="4" fillId="9" borderId="23" xfId="0" applyFont="1" applyFill="1" applyBorder="1" applyAlignment="1" applyProtection="1">
      <alignment horizontal="center" vertical="top" wrapText="1"/>
      <protection locked="0"/>
    </xf>
    <xf numFmtId="0" fontId="8" fillId="4" borderId="23" xfId="0" applyFont="1" applyFill="1" applyBorder="1" applyAlignment="1" applyProtection="1">
      <alignment horizontal="center" vertical="center" wrapText="1"/>
      <protection locked="0"/>
    </xf>
    <xf numFmtId="168" fontId="18" fillId="8" borderId="10" xfId="0" applyNumberFormat="1" applyFont="1" applyFill="1" applyBorder="1" applyAlignment="1" applyProtection="1">
      <alignment horizontal="center" vertical="center" wrapText="1"/>
      <protection locked="0"/>
    </xf>
    <xf numFmtId="168" fontId="18" fillId="8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10" borderId="38" xfId="0" applyFont="1" applyFill="1" applyBorder="1" applyAlignment="1">
      <alignment horizontal="center" vertical="center"/>
    </xf>
    <xf numFmtId="168" fontId="18" fillId="8" borderId="19" xfId="0" applyNumberFormat="1" applyFont="1" applyFill="1" applyBorder="1" applyAlignment="1" applyProtection="1">
      <alignment horizontal="center" vertical="center"/>
      <protection locked="0"/>
    </xf>
    <xf numFmtId="0" fontId="0" fillId="9" borderId="13" xfId="0" applyFill="1" applyBorder="1" applyAlignment="1">
      <alignment horizontal="center" vertical="center"/>
    </xf>
    <xf numFmtId="168" fontId="8" fillId="9" borderId="15" xfId="0" applyNumberFormat="1" applyFont="1" applyFill="1" applyBorder="1" applyAlignment="1" applyProtection="1">
      <alignment horizontal="center" vertical="center" wrapText="1"/>
      <protection locked="0"/>
    </xf>
    <xf numFmtId="168" fontId="8" fillId="9" borderId="15" xfId="0" applyNumberFormat="1" applyFont="1" applyFill="1" applyBorder="1" applyAlignment="1" applyProtection="1">
      <alignment horizontal="center" vertical="top" wrapText="1"/>
      <protection locked="0"/>
    </xf>
    <xf numFmtId="0" fontId="18" fillId="11" borderId="15" xfId="0" applyFont="1" applyFill="1" applyBorder="1" applyAlignment="1" applyProtection="1">
      <alignment horizontal="center" vertical="center" wrapText="1"/>
      <protection locked="0"/>
    </xf>
    <xf numFmtId="0" fontId="6" fillId="6" borderId="44" xfId="0" applyFont="1" applyFill="1" applyBorder="1" applyAlignment="1">
      <alignment horizontal="center" vertical="center"/>
    </xf>
    <xf numFmtId="0" fontId="15" fillId="0" borderId="45" xfId="0" applyFont="1" applyBorder="1"/>
    <xf numFmtId="0" fontId="15" fillId="0" borderId="23" xfId="0" applyFont="1" applyBorder="1"/>
    <xf numFmtId="0" fontId="0" fillId="3" borderId="43" xfId="0" applyFill="1" applyBorder="1" applyAlignment="1">
      <alignment horizontal="center" vertical="center"/>
    </xf>
    <xf numFmtId="0" fontId="19" fillId="7" borderId="0" xfId="0" applyFont="1" applyFill="1" applyProtection="1">
      <protection locked="0"/>
    </xf>
    <xf numFmtId="0" fontId="18" fillId="11" borderId="15" xfId="0" applyFont="1" applyFill="1" applyBorder="1" applyAlignment="1" applyProtection="1">
      <alignment horizontal="center" vertical="center"/>
      <protection locked="0"/>
    </xf>
    <xf numFmtId="0" fontId="8" fillId="11" borderId="15" xfId="0" applyFont="1" applyFill="1" applyBorder="1" applyAlignment="1" applyProtection="1">
      <alignment horizontal="center" vertical="center" wrapText="1"/>
      <protection locked="0"/>
    </xf>
    <xf numFmtId="168" fontId="5" fillId="11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15" xfId="0" applyFont="1" applyFill="1" applyBorder="1" applyAlignment="1" applyProtection="1">
      <alignment horizontal="center" vertical="center" wrapText="1"/>
      <protection locked="0"/>
    </xf>
    <xf numFmtId="0" fontId="6" fillId="6" borderId="72" xfId="0" applyFont="1" applyFill="1" applyBorder="1" applyAlignment="1">
      <alignment horizontal="center" vertical="center"/>
    </xf>
    <xf numFmtId="0" fontId="0" fillId="11" borderId="0" xfId="0" applyFill="1" applyBorder="1"/>
    <xf numFmtId="0" fontId="15" fillId="11" borderId="0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11" borderId="23" xfId="0" applyFont="1" applyFill="1" applyBorder="1" applyAlignment="1" applyProtection="1">
      <alignment horizontal="center" vertical="center"/>
      <protection locked="0"/>
    </xf>
    <xf numFmtId="49" fontId="3" fillId="12" borderId="78" xfId="0" applyNumberFormat="1" applyFont="1" applyFill="1" applyBorder="1" applyAlignment="1" applyProtection="1">
      <alignment horizontal="center" vertical="center" wrapText="1"/>
      <protection locked="0"/>
    </xf>
    <xf numFmtId="49" fontId="17" fillId="12" borderId="35" xfId="0" applyNumberFormat="1" applyFont="1" applyFill="1" applyBorder="1" applyAlignment="1" applyProtection="1">
      <alignment horizontal="center" vertical="center" wrapText="1"/>
      <protection locked="0"/>
    </xf>
    <xf numFmtId="0" fontId="3" fillId="12" borderId="35" xfId="0" applyFont="1" applyFill="1" applyBorder="1" applyAlignment="1" applyProtection="1">
      <alignment horizontal="right" vertical="top" wrapText="1"/>
      <protection locked="0"/>
    </xf>
    <xf numFmtId="168" fontId="3" fillId="12" borderId="35" xfId="0" applyNumberFormat="1" applyFont="1" applyFill="1" applyBorder="1" applyAlignment="1" applyProtection="1">
      <alignment horizontal="center" vertical="center" wrapText="1"/>
      <protection locked="0"/>
    </xf>
    <xf numFmtId="43" fontId="4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4" fillId="5" borderId="35" xfId="0" applyFont="1" applyFill="1" applyBorder="1" applyAlignment="1" applyProtection="1">
      <alignment horizontal="center" vertical="center" wrapText="1"/>
      <protection locked="0"/>
    </xf>
    <xf numFmtId="0" fontId="0" fillId="5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168" fontId="0" fillId="0" borderId="0" xfId="0" applyNumberFormat="1" applyAlignment="1" applyProtection="1">
      <alignment horizontal="center" vertical="center"/>
      <protection locked="0"/>
    </xf>
    <xf numFmtId="168" fontId="0" fillId="0" borderId="0" xfId="0" applyNumberFormat="1" applyProtection="1">
      <protection locked="0"/>
    </xf>
    <xf numFmtId="43" fontId="0" fillId="0" borderId="0" xfId="0" applyNumberFormat="1" applyProtection="1">
      <protection locked="0"/>
    </xf>
    <xf numFmtId="49" fontId="5" fillId="11" borderId="0" xfId="0" applyNumberFormat="1" applyFont="1" applyFill="1" applyBorder="1" applyAlignment="1" applyProtection="1">
      <alignment horizontal="center" vertical="top" wrapText="1"/>
      <protection locked="0"/>
    </xf>
    <xf numFmtId="0" fontId="8" fillId="11" borderId="0" xfId="0" applyFont="1" applyFill="1" applyBorder="1" applyAlignment="1" applyProtection="1">
      <alignment horizontal="center" vertical="top" wrapText="1"/>
      <protection locked="0"/>
    </xf>
    <xf numFmtId="168" fontId="19" fillId="11" borderId="0" xfId="0" applyNumberFormat="1" applyFont="1" applyFill="1" applyBorder="1" applyAlignment="1" applyProtection="1">
      <alignment horizontal="center" vertical="center" wrapText="1"/>
      <protection locked="0"/>
    </xf>
    <xf numFmtId="43" fontId="8" fillId="11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11" borderId="0" xfId="0" applyFont="1" applyFill="1" applyBorder="1" applyProtection="1">
      <protection locked="0"/>
    </xf>
    <xf numFmtId="0" fontId="5" fillId="11" borderId="15" xfId="0" applyFont="1" applyFill="1" applyBorder="1" applyAlignment="1" applyProtection="1">
      <alignment horizontal="center" vertical="top" wrapText="1"/>
      <protection locked="0"/>
    </xf>
    <xf numFmtId="0" fontId="15" fillId="10" borderId="47" xfId="0" applyFont="1" applyFill="1" applyBorder="1" applyAlignment="1">
      <alignment horizontal="center" vertical="center"/>
    </xf>
    <xf numFmtId="0" fontId="15" fillId="10" borderId="49" xfId="0" applyFont="1" applyFill="1" applyBorder="1" applyAlignment="1">
      <alignment horizontal="center" vertical="center"/>
    </xf>
    <xf numFmtId="0" fontId="15" fillId="10" borderId="17" xfId="0" applyFont="1" applyFill="1" applyBorder="1" applyAlignment="1">
      <alignment horizontal="center" vertical="center"/>
    </xf>
    <xf numFmtId="0" fontId="15" fillId="10" borderId="39" xfId="0" applyFont="1" applyFill="1" applyBorder="1" applyAlignment="1">
      <alignment horizontal="center" vertical="center"/>
    </xf>
    <xf numFmtId="0" fontId="8" fillId="9" borderId="13" xfId="0" applyFont="1" applyFill="1" applyBorder="1" applyAlignment="1" applyProtection="1">
      <alignment horizontal="center" vertical="top" wrapText="1"/>
      <protection locked="0"/>
    </xf>
    <xf numFmtId="0" fontId="8" fillId="9" borderId="15" xfId="0" applyFont="1" applyFill="1" applyBorder="1" applyAlignment="1" applyProtection="1">
      <alignment horizontal="center" vertical="top" wrapText="1"/>
      <protection locked="0"/>
    </xf>
    <xf numFmtId="168" fontId="8" fillId="9" borderId="42" xfId="0" applyNumberFormat="1" applyFont="1" applyFill="1" applyBorder="1" applyAlignment="1" applyProtection="1">
      <alignment horizontal="center" vertical="center" wrapText="1"/>
      <protection locked="0"/>
    </xf>
    <xf numFmtId="168" fontId="8" fillId="9" borderId="50" xfId="0" applyNumberFormat="1" applyFont="1" applyFill="1" applyBorder="1" applyAlignment="1" applyProtection="1">
      <alignment horizontal="center" vertical="center" wrapText="1"/>
      <protection locked="0"/>
    </xf>
    <xf numFmtId="168" fontId="8" fillId="9" borderId="75" xfId="0" applyNumberFormat="1" applyFont="1" applyFill="1" applyBorder="1" applyAlignment="1" applyProtection="1">
      <alignment horizontal="center" vertical="center" wrapText="1"/>
      <protection locked="0"/>
    </xf>
    <xf numFmtId="168" fontId="8" fillId="9" borderId="43" xfId="0" applyNumberFormat="1" applyFont="1" applyFill="1" applyBorder="1" applyAlignment="1" applyProtection="1">
      <alignment horizontal="center" vertical="center" wrapText="1"/>
      <protection locked="0"/>
    </xf>
    <xf numFmtId="168" fontId="8" fillId="9" borderId="47" xfId="0" applyNumberFormat="1" applyFont="1" applyFill="1" applyBorder="1" applyAlignment="1" applyProtection="1">
      <alignment horizontal="center" vertical="center" wrapText="1"/>
      <protection locked="0"/>
    </xf>
    <xf numFmtId="168" fontId="8" fillId="9" borderId="40" xfId="0" applyNumberFormat="1" applyFont="1" applyFill="1" applyBorder="1" applyAlignment="1" applyProtection="1">
      <alignment horizontal="center" vertical="center" wrapText="1"/>
      <protection locked="0"/>
    </xf>
    <xf numFmtId="0" fontId="8" fillId="11" borderId="15" xfId="0" applyFont="1" applyFill="1" applyBorder="1" applyAlignment="1" applyProtection="1">
      <alignment horizontal="center" vertical="top" wrapText="1"/>
      <protection locked="0"/>
    </xf>
    <xf numFmtId="0" fontId="6" fillId="6" borderId="66" xfId="0" applyFont="1" applyFill="1" applyBorder="1" applyAlignment="1">
      <alignment horizontal="center" vertical="center" wrapText="1"/>
    </xf>
    <xf numFmtId="0" fontId="6" fillId="6" borderId="72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top" wrapText="1"/>
      <protection locked="0"/>
    </xf>
    <xf numFmtId="0" fontId="4" fillId="9" borderId="47" xfId="0" applyFont="1" applyFill="1" applyBorder="1" applyAlignment="1" applyProtection="1">
      <alignment horizontal="center" vertical="top" wrapText="1"/>
      <protection locked="0"/>
    </xf>
    <xf numFmtId="0" fontId="4" fillId="9" borderId="40" xfId="0" applyFont="1" applyFill="1" applyBorder="1" applyAlignment="1" applyProtection="1">
      <alignment horizontal="center" vertical="top" wrapText="1"/>
      <protection locked="0"/>
    </xf>
    <xf numFmtId="0" fontId="8" fillId="9" borderId="23" xfId="0" applyFont="1" applyFill="1" applyBorder="1" applyAlignment="1" applyProtection="1">
      <alignment horizontal="center" vertical="top" wrapText="1"/>
      <protection locked="0"/>
    </xf>
    <xf numFmtId="0" fontId="4" fillId="8" borderId="9" xfId="0" applyFont="1" applyFill="1" applyBorder="1" applyAlignment="1" applyProtection="1">
      <alignment horizontal="center" vertical="top" wrapText="1"/>
      <protection locked="0"/>
    </xf>
    <xf numFmtId="0" fontId="4" fillId="8" borderId="14" xfId="0" applyFont="1" applyFill="1" applyBorder="1" applyAlignment="1" applyProtection="1">
      <alignment horizontal="center" vertical="top" wrapText="1"/>
      <protection locked="0"/>
    </xf>
    <xf numFmtId="0" fontId="4" fillId="8" borderId="18" xfId="0" applyFont="1" applyFill="1" applyBorder="1" applyAlignment="1" applyProtection="1">
      <alignment horizontal="center" vertical="top" wrapText="1"/>
      <protection locked="0"/>
    </xf>
    <xf numFmtId="0" fontId="5" fillId="11" borderId="23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 applyProtection="1">
      <alignment horizontal="center" vertical="top" wrapText="1"/>
      <protection locked="0"/>
    </xf>
    <xf numFmtId="0" fontId="5" fillId="0" borderId="15" xfId="0" applyFont="1" applyBorder="1" applyAlignment="1" applyProtection="1">
      <alignment horizontal="center" vertical="top" wrapText="1"/>
      <protection locked="0"/>
    </xf>
    <xf numFmtId="0" fontId="4" fillId="13" borderId="15" xfId="0" applyFont="1" applyFill="1" applyBorder="1" applyAlignment="1" applyProtection="1">
      <alignment horizontal="center" vertical="top" wrapText="1"/>
      <protection locked="0"/>
    </xf>
    <xf numFmtId="0" fontId="5" fillId="9" borderId="15" xfId="0" applyFont="1" applyFill="1" applyBorder="1" applyAlignment="1" applyProtection="1">
      <alignment horizontal="center" vertical="top" wrapText="1"/>
      <protection locked="0"/>
    </xf>
    <xf numFmtId="0" fontId="5" fillId="9" borderId="23" xfId="0" applyFont="1" applyFill="1" applyBorder="1" applyAlignment="1" applyProtection="1">
      <alignment horizontal="center" vertical="top" wrapText="1"/>
      <protection locked="0"/>
    </xf>
    <xf numFmtId="0" fontId="5" fillId="9" borderId="43" xfId="0" applyFont="1" applyFill="1" applyBorder="1" applyAlignment="1" applyProtection="1">
      <alignment horizontal="center" vertical="center" wrapText="1"/>
      <protection locked="0"/>
    </xf>
    <xf numFmtId="0" fontId="5" fillId="9" borderId="47" xfId="0" applyFont="1" applyFill="1" applyBorder="1" applyAlignment="1" applyProtection="1">
      <alignment horizontal="center" vertical="center" wrapText="1"/>
      <protection locked="0"/>
    </xf>
    <xf numFmtId="0" fontId="5" fillId="9" borderId="4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top" wrapText="1"/>
      <protection locked="0"/>
    </xf>
    <xf numFmtId="43" fontId="4" fillId="9" borderId="46" xfId="0" applyNumberFormat="1" applyFont="1" applyFill="1" applyBorder="1" applyAlignment="1" applyProtection="1">
      <alignment horizontal="center" vertical="center" wrapText="1"/>
      <protection locked="0"/>
    </xf>
    <xf numFmtId="43" fontId="4" fillId="9" borderId="53" xfId="0" applyNumberFormat="1" applyFont="1" applyFill="1" applyBorder="1" applyAlignment="1" applyProtection="1">
      <alignment horizontal="center" vertical="center" wrapText="1"/>
      <protection locked="0"/>
    </xf>
    <xf numFmtId="43" fontId="4" fillId="9" borderId="34" xfId="0" applyNumberFormat="1" applyFont="1" applyFill="1" applyBorder="1" applyAlignment="1" applyProtection="1">
      <alignment horizontal="center" vertical="center" wrapText="1"/>
      <protection locked="0"/>
    </xf>
    <xf numFmtId="0" fontId="5" fillId="9" borderId="13" xfId="0" applyFont="1" applyFill="1" applyBorder="1" applyAlignment="1" applyProtection="1">
      <alignment horizontal="center" vertical="top" wrapText="1"/>
      <protection locked="0"/>
    </xf>
    <xf numFmtId="43" fontId="5" fillId="9" borderId="42" xfId="0" applyNumberFormat="1" applyFont="1" applyFill="1" applyBorder="1" applyAlignment="1" applyProtection="1">
      <alignment horizontal="center" vertical="center" wrapText="1"/>
      <protection locked="0"/>
    </xf>
    <xf numFmtId="43" fontId="5" fillId="9" borderId="50" xfId="0" applyNumberFormat="1" applyFont="1" applyFill="1" applyBorder="1" applyAlignment="1" applyProtection="1">
      <alignment horizontal="center" vertical="center" wrapText="1"/>
      <protection locked="0"/>
    </xf>
    <xf numFmtId="43" fontId="5" fillId="9" borderId="75" xfId="0" applyNumberFormat="1" applyFont="1" applyFill="1" applyBorder="1" applyAlignment="1" applyProtection="1">
      <alignment horizontal="center" vertical="center" wrapText="1"/>
      <protection locked="0"/>
    </xf>
    <xf numFmtId="43" fontId="5" fillId="9" borderId="27" xfId="0" applyNumberFormat="1" applyFont="1" applyFill="1" applyBorder="1" applyAlignment="1" applyProtection="1">
      <alignment horizontal="center" vertical="center" wrapText="1"/>
      <protection locked="0"/>
    </xf>
    <xf numFmtId="43" fontId="5" fillId="9" borderId="28" xfId="0" applyNumberFormat="1" applyFont="1" applyFill="1" applyBorder="1" applyAlignment="1" applyProtection="1">
      <alignment horizontal="center" vertical="center" wrapText="1"/>
      <protection locked="0"/>
    </xf>
    <xf numFmtId="43" fontId="5" fillId="9" borderId="45" xfId="0" applyNumberFormat="1" applyFont="1" applyFill="1" applyBorder="1" applyAlignment="1" applyProtection="1">
      <alignment horizontal="center" vertical="center" wrapText="1"/>
      <protection locked="0"/>
    </xf>
    <xf numFmtId="43" fontId="5" fillId="9" borderId="41" xfId="0" applyNumberFormat="1" applyFont="1" applyFill="1" applyBorder="1" applyAlignment="1" applyProtection="1">
      <alignment horizontal="center" vertical="center" wrapText="1"/>
      <protection locked="0"/>
    </xf>
    <xf numFmtId="43" fontId="5" fillId="9" borderId="12" xfId="0" applyNumberFormat="1" applyFont="1" applyFill="1" applyBorder="1" applyAlignment="1" applyProtection="1">
      <alignment horizontal="center" vertical="center" wrapText="1"/>
      <protection locked="0"/>
    </xf>
    <xf numFmtId="43" fontId="5" fillId="9" borderId="38" xfId="0" applyNumberFormat="1" applyFont="1" applyFill="1" applyBorder="1" applyAlignment="1" applyProtection="1">
      <alignment horizontal="center" vertical="center" wrapText="1"/>
      <protection locked="0"/>
    </xf>
    <xf numFmtId="168" fontId="5" fillId="9" borderId="43" xfId="0" applyNumberFormat="1" applyFont="1" applyFill="1" applyBorder="1" applyAlignment="1" applyProtection="1">
      <alignment horizontal="center" vertical="center" wrapText="1"/>
      <protection locked="0"/>
    </xf>
    <xf numFmtId="168" fontId="5" fillId="9" borderId="47" xfId="0" applyNumberFormat="1" applyFont="1" applyFill="1" applyBorder="1" applyAlignment="1" applyProtection="1">
      <alignment horizontal="center" vertical="center" wrapText="1"/>
      <protection locked="0"/>
    </xf>
    <xf numFmtId="168" fontId="5" fillId="9" borderId="40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66" xfId="0" applyFont="1" applyFill="1" applyBorder="1" applyAlignment="1">
      <alignment horizontal="center" vertical="center" wrapText="1"/>
    </xf>
    <xf numFmtId="0" fontId="3" fillId="3" borderId="72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0" fontId="4" fillId="8" borderId="74" xfId="0" applyFont="1" applyFill="1" applyBorder="1" applyAlignment="1" applyProtection="1">
      <alignment horizontal="center" vertical="center" wrapText="1"/>
      <protection locked="0"/>
    </xf>
    <xf numFmtId="0" fontId="4" fillId="8" borderId="4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164" fontId="4" fillId="3" borderId="63" xfId="0" applyNumberFormat="1" applyFont="1" applyFill="1" applyBorder="1" applyAlignment="1">
      <alignment horizontal="center" vertical="center" wrapText="1"/>
    </xf>
    <xf numFmtId="164" fontId="4" fillId="3" borderId="69" xfId="0" applyNumberFormat="1" applyFont="1" applyFill="1" applyBorder="1" applyAlignment="1">
      <alignment horizontal="center" vertical="center" wrapText="1"/>
    </xf>
    <xf numFmtId="0" fontId="4" fillId="3" borderId="65" xfId="0" applyFont="1" applyFill="1" applyBorder="1" applyAlignment="1">
      <alignment horizontal="center" vertical="center" wrapText="1"/>
    </xf>
    <xf numFmtId="0" fontId="4" fillId="3" borderId="71" xfId="0" applyFont="1" applyFill="1" applyBorder="1" applyAlignment="1">
      <alignment horizontal="center" vertical="center" wrapText="1"/>
    </xf>
    <xf numFmtId="0" fontId="3" fillId="4" borderId="66" xfId="0" applyFont="1" applyFill="1" applyBorder="1" applyAlignment="1">
      <alignment horizontal="center" vertical="center" wrapText="1"/>
    </xf>
    <xf numFmtId="0" fontId="3" fillId="4" borderId="72" xfId="0" applyFont="1" applyFill="1" applyBorder="1" applyAlignment="1">
      <alignment horizontal="center" vertical="center" wrapText="1"/>
    </xf>
    <xf numFmtId="0" fontId="3" fillId="5" borderId="66" xfId="0" applyFont="1" applyFill="1" applyBorder="1" applyAlignment="1">
      <alignment horizontal="center" vertical="center" wrapText="1"/>
    </xf>
    <xf numFmtId="0" fontId="3" fillId="5" borderId="72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 wrapText="1"/>
    </xf>
    <xf numFmtId="0" fontId="8" fillId="11" borderId="23" xfId="0" applyFont="1" applyFill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vertical="center" wrapText="1"/>
    </xf>
    <xf numFmtId="0" fontId="8" fillId="9" borderId="54" xfId="0" applyFont="1" applyFill="1" applyBorder="1" applyAlignment="1">
      <alignment horizontal="center" vertical="center" wrapText="1"/>
    </xf>
    <xf numFmtId="0" fontId="8" fillId="9" borderId="55" xfId="0" applyFont="1" applyFill="1" applyBorder="1" applyAlignment="1">
      <alignment horizontal="center" vertical="center" wrapText="1"/>
    </xf>
    <xf numFmtId="0" fontId="8" fillId="9" borderId="56" xfId="0" applyFont="1" applyFill="1" applyBorder="1" applyAlignment="1">
      <alignment horizontal="center" vertical="center" wrapText="1"/>
    </xf>
    <xf numFmtId="0" fontId="8" fillId="9" borderId="41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8" fillId="9" borderId="38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9" borderId="23" xfId="0" applyFont="1" applyFill="1" applyBorder="1" applyAlignment="1">
      <alignment horizontal="center" vertical="center" wrapText="1"/>
    </xf>
    <xf numFmtId="0" fontId="8" fillId="9" borderId="27" xfId="0" applyFont="1" applyFill="1" applyBorder="1" applyAlignment="1">
      <alignment horizontal="center" vertical="center" wrapText="1"/>
    </xf>
    <xf numFmtId="0" fontId="8" fillId="9" borderId="28" xfId="0" applyFont="1" applyFill="1" applyBorder="1" applyAlignment="1">
      <alignment horizontal="center" vertical="center" wrapText="1"/>
    </xf>
    <xf numFmtId="0" fontId="8" fillId="9" borderId="45" xfId="0" applyFont="1" applyFill="1" applyBorder="1" applyAlignment="1">
      <alignment horizontal="center" vertical="center" wrapText="1"/>
    </xf>
    <xf numFmtId="0" fontId="8" fillId="9" borderId="30" xfId="0" applyFont="1" applyFill="1" applyBorder="1" applyAlignment="1">
      <alignment horizontal="center" vertical="center" wrapText="1"/>
    </xf>
    <xf numFmtId="0" fontId="8" fillId="9" borderId="31" xfId="0" applyFont="1" applyFill="1" applyBorder="1" applyAlignment="1">
      <alignment horizontal="center" vertical="center" wrapText="1"/>
    </xf>
    <xf numFmtId="0" fontId="8" fillId="9" borderId="48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11" borderId="24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center" vertical="center" wrapText="1"/>
    </xf>
    <xf numFmtId="0" fontId="5" fillId="9" borderId="43" xfId="0" applyFont="1" applyFill="1" applyBorder="1" applyAlignment="1">
      <alignment horizontal="center" vertical="center" wrapText="1"/>
    </xf>
    <xf numFmtId="0" fontId="5" fillId="9" borderId="47" xfId="0" applyFont="1" applyFill="1" applyBorder="1" applyAlignment="1">
      <alignment horizontal="center" vertical="center" wrapText="1"/>
    </xf>
    <xf numFmtId="0" fontId="5" fillId="9" borderId="49" xfId="0" applyFont="1" applyFill="1" applyBorder="1" applyAlignment="1">
      <alignment horizontal="center" vertical="center" wrapText="1"/>
    </xf>
    <xf numFmtId="0" fontId="5" fillId="11" borderId="23" xfId="0" applyFont="1" applyFill="1" applyBorder="1" applyAlignment="1">
      <alignment horizontal="center" vertical="center" wrapText="1"/>
    </xf>
    <xf numFmtId="0" fontId="5" fillId="9" borderId="42" xfId="0" applyFont="1" applyFill="1" applyBorder="1" applyAlignment="1">
      <alignment horizontal="center" vertical="center" wrapText="1"/>
    </xf>
    <xf numFmtId="0" fontId="5" fillId="9" borderId="50" xfId="0" applyFont="1" applyFill="1" applyBorder="1" applyAlignment="1">
      <alignment horizontal="center" vertical="center" wrapText="1"/>
    </xf>
    <xf numFmtId="0" fontId="5" fillId="9" borderId="51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9" borderId="27" xfId="0" applyFont="1" applyFill="1" applyBorder="1" applyAlignment="1">
      <alignment horizontal="center" vertical="center" wrapText="1"/>
    </xf>
    <xf numFmtId="0" fontId="5" fillId="9" borderId="28" xfId="0" applyFont="1" applyFill="1" applyBorder="1" applyAlignment="1">
      <alignment horizontal="center" vertical="center" wrapText="1"/>
    </xf>
    <xf numFmtId="0" fontId="5" fillId="9" borderId="29" xfId="0" applyFont="1" applyFill="1" applyBorder="1" applyAlignment="1">
      <alignment horizontal="center" vertical="center" wrapText="1"/>
    </xf>
    <xf numFmtId="0" fontId="5" fillId="9" borderId="41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5" fillId="9" borderId="37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vertical="center" wrapText="1"/>
    </xf>
    <xf numFmtId="0" fontId="9" fillId="9" borderId="27" xfId="0" applyFont="1" applyFill="1" applyBorder="1" applyAlignment="1">
      <alignment horizontal="center" vertical="center" wrapText="1"/>
    </xf>
    <xf numFmtId="0" fontId="5" fillId="9" borderId="30" xfId="0" applyFont="1" applyFill="1" applyBorder="1" applyAlignment="1">
      <alignment horizontal="center" vertical="center" wrapText="1"/>
    </xf>
    <xf numFmtId="0" fontId="5" fillId="9" borderId="31" xfId="0" applyFont="1" applyFill="1" applyBorder="1" applyAlignment="1">
      <alignment horizontal="center" vertical="center" wrapText="1"/>
    </xf>
    <xf numFmtId="0" fontId="5" fillId="9" borderId="32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3" fontId="5" fillId="0" borderId="23" xfId="0" applyNumberFormat="1" applyFont="1" applyBorder="1" applyAlignment="1">
      <alignment horizontal="center" vertical="center" wrapText="1"/>
    </xf>
    <xf numFmtId="43" fontId="5" fillId="0" borderId="13" xfId="0" applyNumberFormat="1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8" fillId="11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77;&#1076;&#1077;&#1085;&#1080;&#1103;%20&#1086;&#1073;%20&#1086;&#1094;&#1077;&#1085;&#1082;&#1077;%20&#1101;&#1092;&#1092;&#1077;&#1082;&#1090;&#1080;&#1074;&#1085;&#1086;&#1089;&#1090;&#1080;%20&#1088;&#1077;&#1072;&#1083;&#1080;&#1079;&#1072;&#1094;&#1080;&#1080;%20&#1084;&#1091;&#1085;&#1080;&#1094;&#1080;&#1087;&#1072;&#1083;&#1100;&#1085;&#1099;&#1093;%20&#1087;&#1088;&#1086;&#1075;&#1088;&#1072;&#1084;&#1084;%202018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род 2 кв."/>
      <sheetName val="Район 2 кв."/>
      <sheetName val="РАсчет района"/>
      <sheetName val="Оценка целевых показателей"/>
      <sheetName val="ЦОДА"/>
      <sheetName val="Лист1"/>
      <sheetName val="3 кв.Городское поселение"/>
      <sheetName val="4 кв.Городское поселение"/>
      <sheetName val="3 кв.Муниципальный район"/>
      <sheetName val="4 кв.Муниципальный район"/>
      <sheetName val="Годовой Город 2018"/>
      <sheetName val="Годовой - район"/>
      <sheetName val="муниципальный район"/>
      <sheetName val="городское поселе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6"/>
  <sheetViews>
    <sheetView topLeftCell="A109" zoomScale="70" zoomScaleNormal="70" workbookViewId="0">
      <selection activeCell="F18" sqref="F18"/>
    </sheetView>
  </sheetViews>
  <sheetFormatPr defaultRowHeight="15" outlineLevelCol="4"/>
  <cols>
    <col min="1" max="1" width="6.85546875" customWidth="1"/>
    <col min="2" max="2" width="36.140625" customWidth="1"/>
    <col min="3" max="3" width="22.5703125" customWidth="1"/>
    <col min="4" max="5" width="24.5703125" customWidth="1"/>
    <col min="6" max="6" width="21.42578125" customWidth="1" outlineLevel="4"/>
    <col min="7" max="7" width="19.7109375" customWidth="1" outlineLevel="4"/>
    <col min="8" max="8" width="21.42578125" customWidth="1"/>
    <col min="9" max="9" width="19.85546875" customWidth="1" outlineLevel="1"/>
    <col min="10" max="10" width="20.7109375" customWidth="1" outlineLevel="1"/>
    <col min="11" max="11" width="20.140625" customWidth="1" outlineLevel="1"/>
    <col min="12" max="12" width="19.85546875" customWidth="1"/>
    <col min="13" max="13" width="21" customWidth="1" outlineLevel="1"/>
    <col min="14" max="17" width="27.7109375" customWidth="1" outlineLevel="1"/>
    <col min="18" max="18" width="30.5703125" customWidth="1" outlineLevel="1"/>
    <col min="19" max="31" width="27.7109375" customWidth="1" outlineLevel="1"/>
    <col min="32" max="32" width="30.7109375" customWidth="1"/>
  </cols>
  <sheetData>
    <row r="1" spans="1:30" ht="54.95" customHeight="1">
      <c r="A1" s="286" t="s">
        <v>0</v>
      </c>
      <c r="B1" s="287" t="s">
        <v>1</v>
      </c>
      <c r="C1" s="288" t="s">
        <v>2</v>
      </c>
      <c r="D1" s="289" t="s">
        <v>3</v>
      </c>
      <c r="E1" s="288" t="s">
        <v>4</v>
      </c>
      <c r="F1" s="572" t="s">
        <v>5</v>
      </c>
      <c r="G1" s="574" t="s">
        <v>6</v>
      </c>
      <c r="H1" s="576" t="s">
        <v>7</v>
      </c>
      <c r="I1" s="578" t="s">
        <v>8</v>
      </c>
      <c r="J1" s="578" t="s">
        <v>9</v>
      </c>
      <c r="K1" s="578" t="s">
        <v>10</v>
      </c>
      <c r="L1" s="566" t="s">
        <v>11</v>
      </c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</row>
    <row r="2" spans="1:30" ht="54.95" customHeight="1" thickBot="1">
      <c r="A2" s="291"/>
      <c r="B2" s="292"/>
      <c r="C2" s="293"/>
      <c r="D2" s="294" t="s">
        <v>12</v>
      </c>
      <c r="E2" s="295" t="s">
        <v>13</v>
      </c>
      <c r="F2" s="573"/>
      <c r="G2" s="575"/>
      <c r="H2" s="577"/>
      <c r="I2" s="579"/>
      <c r="J2" s="579"/>
      <c r="K2" s="579"/>
      <c r="L2" s="567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</row>
    <row r="3" spans="1:30" ht="54.95" customHeight="1" thickBot="1">
      <c r="A3" s="296">
        <v>1</v>
      </c>
      <c r="B3" s="568" t="s">
        <v>318</v>
      </c>
      <c r="C3" s="297" t="s">
        <v>21</v>
      </c>
      <c r="D3" s="298">
        <f>D7+D9+D12+D16</f>
        <v>16842.187160000001</v>
      </c>
      <c r="E3" s="298">
        <f>E7+E9+E12+E16</f>
        <v>16842.187160000001</v>
      </c>
      <c r="F3" s="299">
        <f>E3/D3*100%</f>
        <v>1</v>
      </c>
      <c r="G3" s="299">
        <f>E3/D3*100%</f>
        <v>1</v>
      </c>
      <c r="H3" s="300">
        <f>(H7*E7+H9*E9+H12*E12+H16*E16)/E3</f>
        <v>80</v>
      </c>
      <c r="I3" s="301"/>
      <c r="J3" s="302"/>
      <c r="K3" s="302"/>
      <c r="L3" s="303">
        <f>IF(SUM(M5:Y5)=SUM(M4:Y4),1,2)</f>
        <v>1</v>
      </c>
      <c r="M3" s="5" t="s">
        <v>14</v>
      </c>
      <c r="N3" s="86" t="s">
        <v>319</v>
      </c>
      <c r="O3" s="87" t="s">
        <v>320</v>
      </c>
      <c r="P3" s="87" t="s">
        <v>321</v>
      </c>
      <c r="Q3" s="88" t="s">
        <v>322</v>
      </c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</row>
    <row r="4" spans="1:30" ht="54.95" customHeight="1">
      <c r="A4" s="304"/>
      <c r="B4" s="569"/>
      <c r="C4" s="305" t="s">
        <v>23</v>
      </c>
      <c r="D4" s="306">
        <f>D8+D10+D13+D17</f>
        <v>12678.66116</v>
      </c>
      <c r="E4" s="306">
        <f>E8+E10+E13+E17</f>
        <v>12678.66116</v>
      </c>
      <c r="F4" s="307"/>
      <c r="G4" s="307"/>
      <c r="H4" s="308"/>
      <c r="I4" s="309"/>
      <c r="J4" s="310"/>
      <c r="K4" s="310"/>
      <c r="L4" s="311"/>
      <c r="M4" s="233" t="s">
        <v>22</v>
      </c>
      <c r="N4" s="312">
        <v>3</v>
      </c>
      <c r="O4" s="313">
        <v>140228</v>
      </c>
      <c r="P4" s="313">
        <v>15</v>
      </c>
      <c r="Q4" s="313">
        <v>67</v>
      </c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</row>
    <row r="5" spans="1:30" ht="54.95" customHeight="1" thickBot="1">
      <c r="A5" s="304"/>
      <c r="B5" s="569"/>
      <c r="C5" s="305" t="s">
        <v>25</v>
      </c>
      <c r="D5" s="306">
        <f>D11+D14+D19</f>
        <v>3561.5521900000003</v>
      </c>
      <c r="E5" s="306">
        <f>E11+E14+E19</f>
        <v>3561.5521900000003</v>
      </c>
      <c r="F5" s="307"/>
      <c r="G5" s="307"/>
      <c r="H5" s="308"/>
      <c r="I5" s="309"/>
      <c r="J5" s="310"/>
      <c r="K5" s="310"/>
      <c r="L5" s="311"/>
      <c r="M5" s="236" t="s">
        <v>24</v>
      </c>
      <c r="N5" s="314">
        <v>3</v>
      </c>
      <c r="O5" s="315">
        <v>140228</v>
      </c>
      <c r="P5" s="315">
        <v>15</v>
      </c>
      <c r="Q5" s="315">
        <v>67</v>
      </c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</row>
    <row r="6" spans="1:30" ht="54.95" customHeight="1" thickBot="1">
      <c r="A6" s="316"/>
      <c r="B6" s="570"/>
      <c r="C6" s="317" t="s">
        <v>323</v>
      </c>
      <c r="D6" s="318">
        <f>A11</f>
        <v>1.9738100000000001</v>
      </c>
      <c r="E6" s="318">
        <v>1.9738100000000001</v>
      </c>
      <c r="F6" s="319"/>
      <c r="G6" s="319"/>
      <c r="H6" s="320"/>
      <c r="I6" s="321"/>
      <c r="J6" s="322"/>
      <c r="K6" s="322"/>
      <c r="L6" s="323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</row>
    <row r="7" spans="1:30" ht="54.95" customHeight="1">
      <c r="A7" s="324" t="s">
        <v>27</v>
      </c>
      <c r="B7" s="571" t="s">
        <v>324</v>
      </c>
      <c r="C7" s="325" t="s">
        <v>21</v>
      </c>
      <c r="D7" s="326">
        <f>D8</f>
        <v>166.8</v>
      </c>
      <c r="E7" s="326">
        <f>E8</f>
        <v>166.8</v>
      </c>
      <c r="F7" s="327">
        <f t="shared" ref="F7:F67" si="0">E7/D7*100%</f>
        <v>1</v>
      </c>
      <c r="G7" s="327">
        <f t="shared" ref="G7:G67" si="1">E7/D7*100%</f>
        <v>1</v>
      </c>
      <c r="H7" s="328">
        <f>J7+K7</f>
        <v>80</v>
      </c>
      <c r="I7" s="329">
        <f t="shared" ref="I7:I67" si="2">IF(G7=1,25,IF((G7&gt;0.9)*(G7&lt;1),0,IF((G7&gt;0.7)*(G7&lt;0.9),-10,-25)))</f>
        <v>25</v>
      </c>
      <c r="J7" s="330">
        <f>IF((G43&gt;0)*(G43&lt;5),20,0)</f>
        <v>20</v>
      </c>
      <c r="K7" s="330">
        <f>IF(L7=1,60,30)</f>
        <v>60</v>
      </c>
      <c r="L7" s="331">
        <f>IF(SUM(M5:Y5)=SUM(M4:Y4),1,2)</f>
        <v>1</v>
      </c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</row>
    <row r="8" spans="1:30" ht="54.95" customHeight="1" thickBot="1">
      <c r="A8" s="332"/>
      <c r="B8" s="541"/>
      <c r="C8" s="333" t="s">
        <v>29</v>
      </c>
      <c r="D8" s="334">
        <v>166.8</v>
      </c>
      <c r="E8" s="334">
        <v>166.8</v>
      </c>
      <c r="F8" s="307"/>
      <c r="G8" s="307"/>
      <c r="H8" s="335"/>
      <c r="I8" s="309"/>
      <c r="J8" s="310"/>
      <c r="K8" s="310"/>
      <c r="L8" s="336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</row>
    <row r="9" spans="1:30" ht="54.95" customHeight="1">
      <c r="A9" s="324" t="s">
        <v>30</v>
      </c>
      <c r="B9" s="549" t="s">
        <v>325</v>
      </c>
      <c r="C9" s="333" t="s">
        <v>21</v>
      </c>
      <c r="D9" s="337">
        <f>D10+D11+A11</f>
        <v>5678.6680800000004</v>
      </c>
      <c r="E9" s="337">
        <f>E10+E11+A11</f>
        <v>5678.6680800000004</v>
      </c>
      <c r="F9" s="307">
        <f t="shared" si="0"/>
        <v>1</v>
      </c>
      <c r="G9" s="307">
        <f t="shared" si="1"/>
        <v>1</v>
      </c>
      <c r="H9" s="335">
        <f>J9+K9</f>
        <v>80</v>
      </c>
      <c r="I9" s="309">
        <f t="shared" si="2"/>
        <v>25</v>
      </c>
      <c r="J9" s="310">
        <f>IF((G43&gt;0)*(G43&lt;5),20,0)</f>
        <v>20</v>
      </c>
      <c r="K9" s="310">
        <f>IF(L9=1,60,30)</f>
        <v>60</v>
      </c>
      <c r="L9" s="336">
        <f>IF(SUM(M5:Y5)=SUM(M4:Y4),1,2)</f>
        <v>1</v>
      </c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</row>
    <row r="10" spans="1:30" ht="54.95" customHeight="1">
      <c r="A10" s="338"/>
      <c r="B10" s="541"/>
      <c r="C10" s="333" t="s">
        <v>29</v>
      </c>
      <c r="D10" s="334">
        <v>4339.7610800000002</v>
      </c>
      <c r="E10" s="334">
        <v>4339.7610800000002</v>
      </c>
      <c r="F10" s="307"/>
      <c r="G10" s="307"/>
      <c r="H10" s="335"/>
      <c r="I10" s="309"/>
      <c r="J10" s="310"/>
      <c r="K10" s="310"/>
      <c r="L10" s="336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</row>
    <row r="11" spans="1:30" ht="54.95" customHeight="1" thickBot="1">
      <c r="A11" s="339">
        <v>1.9738100000000001</v>
      </c>
      <c r="B11" s="340" t="s">
        <v>323</v>
      </c>
      <c r="C11" s="333" t="s">
        <v>25</v>
      </c>
      <c r="D11" s="334">
        <v>1336.93319</v>
      </c>
      <c r="E11" s="334">
        <v>1336.93319</v>
      </c>
      <c r="F11" s="307"/>
      <c r="G11" s="307"/>
      <c r="H11" s="335"/>
      <c r="I11" s="309"/>
      <c r="J11" s="310"/>
      <c r="K11" s="310"/>
      <c r="L11" s="336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</row>
    <row r="12" spans="1:30" ht="33.75" customHeight="1">
      <c r="A12" s="324" t="s">
        <v>32</v>
      </c>
      <c r="B12" s="542" t="s">
        <v>326</v>
      </c>
      <c r="C12" s="333" t="s">
        <v>21</v>
      </c>
      <c r="D12" s="337">
        <f>D13+D14+D15</f>
        <v>7849.1758800000007</v>
      </c>
      <c r="E12" s="337">
        <f>E13+E14+E15</f>
        <v>7849.1758800000007</v>
      </c>
      <c r="F12" s="307">
        <f t="shared" si="0"/>
        <v>1</v>
      </c>
      <c r="G12" s="307">
        <f t="shared" si="1"/>
        <v>1</v>
      </c>
      <c r="H12" s="335">
        <f>J12+K12</f>
        <v>80</v>
      </c>
      <c r="I12" s="309">
        <f t="shared" si="2"/>
        <v>25</v>
      </c>
      <c r="J12" s="310">
        <f>IF((G43&gt;0)*(G43&lt;5),20,0)</f>
        <v>20</v>
      </c>
      <c r="K12" s="310">
        <f>IF(L12=1,60,30)</f>
        <v>60</v>
      </c>
      <c r="L12" s="336">
        <f>IF(SUM(M5:Y5)=SUM(M4:Y4),1,2)</f>
        <v>1</v>
      </c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</row>
    <row r="13" spans="1:30" ht="31.5" customHeight="1">
      <c r="A13" s="338"/>
      <c r="B13" s="542"/>
      <c r="C13" s="333" t="s">
        <v>29</v>
      </c>
      <c r="D13" s="334">
        <v>5618.6468800000002</v>
      </c>
      <c r="E13" s="334">
        <v>5618.6468800000002</v>
      </c>
      <c r="F13" s="307"/>
      <c r="G13" s="307"/>
      <c r="H13" s="335"/>
      <c r="I13" s="309"/>
      <c r="J13" s="310"/>
      <c r="K13" s="310"/>
      <c r="L13" s="336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</row>
    <row r="14" spans="1:30" ht="30" customHeight="1">
      <c r="A14" s="338"/>
      <c r="B14" s="542"/>
      <c r="C14" s="333" t="s">
        <v>25</v>
      </c>
      <c r="D14" s="334">
        <v>1930.529</v>
      </c>
      <c r="E14" s="334">
        <v>1930.529</v>
      </c>
      <c r="F14" s="307"/>
      <c r="G14" s="307"/>
      <c r="H14" s="335"/>
      <c r="I14" s="309"/>
      <c r="J14" s="310"/>
      <c r="K14" s="310"/>
      <c r="L14" s="336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</row>
    <row r="15" spans="1:30" ht="30" customHeight="1" thickBot="1">
      <c r="A15" s="332"/>
      <c r="B15" s="542"/>
      <c r="C15" s="333" t="s">
        <v>26</v>
      </c>
      <c r="D15" s="337">
        <v>300</v>
      </c>
      <c r="E15" s="337">
        <v>300</v>
      </c>
      <c r="F15" s="307"/>
      <c r="G15" s="307"/>
      <c r="H15" s="335"/>
      <c r="I15" s="309"/>
      <c r="J15" s="310"/>
      <c r="K15" s="310"/>
      <c r="L15" s="336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</row>
    <row r="16" spans="1:30" ht="39.75" customHeight="1">
      <c r="A16" s="324" t="s">
        <v>34</v>
      </c>
      <c r="B16" s="542" t="s">
        <v>327</v>
      </c>
      <c r="C16" s="333" t="s">
        <v>21</v>
      </c>
      <c r="D16" s="337">
        <f>D17+D19+D18</f>
        <v>3147.5432000000001</v>
      </c>
      <c r="E16" s="337">
        <f>E17+E19+E18</f>
        <v>3147.5432000000001</v>
      </c>
      <c r="F16" s="307">
        <f t="shared" si="0"/>
        <v>1</v>
      </c>
      <c r="G16" s="307">
        <f t="shared" si="1"/>
        <v>1</v>
      </c>
      <c r="H16" s="335">
        <f>J16+K16</f>
        <v>80</v>
      </c>
      <c r="I16" s="309">
        <f t="shared" si="2"/>
        <v>25</v>
      </c>
      <c r="J16" s="310">
        <f>IF((G43&gt;0)*(G43&lt;5),20,0)</f>
        <v>20</v>
      </c>
      <c r="K16" s="310">
        <f>IF(L16=1,60,30)</f>
        <v>60</v>
      </c>
      <c r="L16" s="336">
        <f>IF(SUM(M5:Y5)=SUM(M4:Y4),1,2)</f>
        <v>1</v>
      </c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</row>
    <row r="17" spans="1:37" ht="27.75" customHeight="1">
      <c r="A17" s="338"/>
      <c r="B17" s="542"/>
      <c r="C17" s="333" t="s">
        <v>29</v>
      </c>
      <c r="D17" s="334">
        <v>2553.4531999999999</v>
      </c>
      <c r="E17" s="334">
        <v>2553.4531999999999</v>
      </c>
      <c r="F17" s="307"/>
      <c r="G17" s="307"/>
      <c r="H17" s="335"/>
      <c r="I17" s="309"/>
      <c r="J17" s="310"/>
      <c r="K17" s="310"/>
      <c r="L17" s="336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</row>
    <row r="18" spans="1:37" ht="27.75" customHeight="1">
      <c r="A18" s="338"/>
      <c r="B18" s="549"/>
      <c r="C18" s="333" t="s">
        <v>26</v>
      </c>
      <c r="D18" s="341">
        <v>300</v>
      </c>
      <c r="E18" s="341">
        <v>300</v>
      </c>
      <c r="F18" s="342"/>
      <c r="G18" s="342"/>
      <c r="H18" s="343"/>
      <c r="I18" s="344"/>
      <c r="J18" s="345"/>
      <c r="K18" s="345"/>
      <c r="L18" s="346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</row>
    <row r="19" spans="1:37" ht="27.75" customHeight="1" thickBot="1">
      <c r="A19" s="332"/>
      <c r="B19" s="549"/>
      <c r="C19" s="347" t="s">
        <v>25</v>
      </c>
      <c r="D19" s="341">
        <v>294.08999999999997</v>
      </c>
      <c r="E19" s="348">
        <v>294.08999999999997</v>
      </c>
      <c r="F19" s="342"/>
      <c r="G19" s="342"/>
      <c r="H19" s="343"/>
      <c r="I19" s="344"/>
      <c r="J19" s="345"/>
      <c r="K19" s="345"/>
      <c r="L19" s="346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</row>
    <row r="20" spans="1:37" ht="69.75" customHeight="1" thickBot="1">
      <c r="A20" s="296">
        <v>2</v>
      </c>
      <c r="B20" s="537" t="s">
        <v>328</v>
      </c>
      <c r="C20" s="297" t="s">
        <v>21</v>
      </c>
      <c r="D20" s="349">
        <f>D23</f>
        <v>117</v>
      </c>
      <c r="E20" s="349">
        <f>E23</f>
        <v>117</v>
      </c>
      <c r="F20" s="299">
        <f t="shared" si="0"/>
        <v>1</v>
      </c>
      <c r="G20" s="299">
        <f t="shared" si="1"/>
        <v>1</v>
      </c>
      <c r="H20" s="300">
        <f>(H23*E23)/E20</f>
        <v>80</v>
      </c>
      <c r="I20" s="301">
        <f t="shared" si="2"/>
        <v>25</v>
      </c>
      <c r="J20" s="302">
        <f>IF([1]!Таблица256[[#This Row],[% экономии при выполнении программ/подпрограмм]],10,0)</f>
        <v>0</v>
      </c>
      <c r="K20" s="302">
        <f t="shared" ref="K20:K67" si="3">IF(L20=1,55,10)</f>
        <v>55</v>
      </c>
      <c r="L20" s="303">
        <f>IF(SUM(M21:Y21)=SUM(M22:Y22),1,2)</f>
        <v>1</v>
      </c>
      <c r="M20" s="5" t="s">
        <v>14</v>
      </c>
      <c r="N20" s="86" t="s">
        <v>329</v>
      </c>
      <c r="O20" s="88" t="s">
        <v>330</v>
      </c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</row>
    <row r="21" spans="1:37" ht="30" customHeight="1">
      <c r="A21" s="304"/>
      <c r="B21" s="538"/>
      <c r="C21" s="305" t="s">
        <v>23</v>
      </c>
      <c r="D21" s="350">
        <f>D24</f>
        <v>117</v>
      </c>
      <c r="E21" s="350">
        <f>E24</f>
        <v>117</v>
      </c>
      <c r="F21" s="307"/>
      <c r="G21" s="307"/>
      <c r="H21" s="308"/>
      <c r="I21" s="309"/>
      <c r="J21" s="310"/>
      <c r="K21" s="310"/>
      <c r="L21" s="311"/>
      <c r="M21" s="233" t="s">
        <v>22</v>
      </c>
      <c r="N21" s="312">
        <v>625</v>
      </c>
      <c r="O21" s="313">
        <v>45</v>
      </c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</row>
    <row r="22" spans="1:37" ht="27.75" customHeight="1" thickBot="1">
      <c r="A22" s="316"/>
      <c r="B22" s="539"/>
      <c r="C22" s="351"/>
      <c r="D22" s="352"/>
      <c r="E22" s="353"/>
      <c r="F22" s="319"/>
      <c r="G22" s="319"/>
      <c r="H22" s="320"/>
      <c r="I22" s="321"/>
      <c r="J22" s="322"/>
      <c r="K22" s="322"/>
      <c r="L22" s="323"/>
      <c r="M22" s="236" t="s">
        <v>24</v>
      </c>
      <c r="N22" s="314">
        <v>625</v>
      </c>
      <c r="O22" s="315">
        <v>45</v>
      </c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</row>
    <row r="23" spans="1:37" ht="39.75" customHeight="1">
      <c r="A23" s="324" t="s">
        <v>51</v>
      </c>
      <c r="B23" s="541" t="s">
        <v>331</v>
      </c>
      <c r="C23" s="354" t="s">
        <v>21</v>
      </c>
      <c r="D23" s="355">
        <f>D24</f>
        <v>117</v>
      </c>
      <c r="E23" s="355">
        <f>E24</f>
        <v>117</v>
      </c>
      <c r="F23" s="327">
        <f t="shared" si="0"/>
        <v>1</v>
      </c>
      <c r="G23" s="327">
        <f t="shared" si="1"/>
        <v>1</v>
      </c>
      <c r="H23" s="328">
        <f>J23+K23</f>
        <v>80</v>
      </c>
      <c r="I23" s="329">
        <f t="shared" si="2"/>
        <v>25</v>
      </c>
      <c r="J23" s="330">
        <f>IF((G43&gt;0)*(G43&lt;5),20,0)</f>
        <v>20</v>
      </c>
      <c r="K23" s="330">
        <f>IF(L23=1,60,30)</f>
        <v>60</v>
      </c>
      <c r="L23" s="331">
        <f>IF(SUM(M24:Y24)=SUM(M25:Y25),1,2)</f>
        <v>1</v>
      </c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</row>
    <row r="24" spans="1:37" ht="31.5" customHeight="1" thickBot="1">
      <c r="A24" s="332"/>
      <c r="B24" s="542"/>
      <c r="C24" s="356" t="s">
        <v>23</v>
      </c>
      <c r="D24" s="357">
        <v>117</v>
      </c>
      <c r="E24" s="357">
        <v>117</v>
      </c>
      <c r="F24" s="307"/>
      <c r="G24" s="307"/>
      <c r="H24" s="335"/>
      <c r="I24" s="309"/>
      <c r="J24" s="310"/>
      <c r="K24" s="310"/>
      <c r="L24" s="336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</row>
    <row r="25" spans="1:37" ht="36" customHeight="1">
      <c r="A25" s="324" t="s">
        <v>53</v>
      </c>
      <c r="B25" s="544" t="s">
        <v>332</v>
      </c>
      <c r="C25" s="358" t="s">
        <v>21</v>
      </c>
      <c r="D25" s="563" t="s">
        <v>333</v>
      </c>
      <c r="E25" s="564"/>
      <c r="F25" s="564"/>
      <c r="G25" s="564"/>
      <c r="H25" s="564"/>
      <c r="I25" s="564"/>
      <c r="J25" s="564"/>
      <c r="K25" s="565"/>
      <c r="L25" s="359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</row>
    <row r="26" spans="1:37" ht="26.25" customHeight="1">
      <c r="A26" s="338"/>
      <c r="B26" s="544"/>
      <c r="C26" s="358" t="s">
        <v>23</v>
      </c>
      <c r="D26" s="360"/>
      <c r="E26" s="360"/>
      <c r="F26" s="361"/>
      <c r="G26" s="361"/>
      <c r="H26" s="335"/>
      <c r="I26" s="309"/>
      <c r="J26" s="310"/>
      <c r="K26" s="310"/>
      <c r="L26" s="336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</row>
    <row r="27" spans="1:37" ht="26.25" customHeight="1" thickBot="1">
      <c r="A27" s="332"/>
      <c r="B27" s="545"/>
      <c r="C27" s="362" t="s">
        <v>26</v>
      </c>
      <c r="D27" s="363"/>
      <c r="E27" s="363"/>
      <c r="F27" s="364"/>
      <c r="G27" s="364"/>
      <c r="H27" s="343"/>
      <c r="I27" s="344"/>
      <c r="J27" s="345"/>
      <c r="K27" s="345"/>
      <c r="L27" s="346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</row>
    <row r="28" spans="1:37" ht="79.5" customHeight="1" thickBot="1">
      <c r="A28" s="296">
        <v>3</v>
      </c>
      <c r="B28" s="537" t="s">
        <v>334</v>
      </c>
      <c r="C28" s="297" t="s">
        <v>21</v>
      </c>
      <c r="D28" s="349">
        <f>D30</f>
        <v>72.915000000000006</v>
      </c>
      <c r="E28" s="349">
        <f>E30</f>
        <v>72.915000000000006</v>
      </c>
      <c r="F28" s="299">
        <f t="shared" si="0"/>
        <v>1</v>
      </c>
      <c r="G28" s="299">
        <f t="shared" si="1"/>
        <v>1</v>
      </c>
      <c r="H28" s="365">
        <f>H30*E30/E28</f>
        <v>70</v>
      </c>
      <c r="I28" s="301"/>
      <c r="J28" s="302"/>
      <c r="K28" s="302"/>
      <c r="L28" s="303">
        <f>IF(SUM(M29:Y29)=SUM(M30:Y30),1,2)</f>
        <v>1</v>
      </c>
      <c r="M28" s="366" t="s">
        <v>14</v>
      </c>
      <c r="N28" s="88" t="s">
        <v>335</v>
      </c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</row>
    <row r="29" spans="1:37" ht="26.25" customHeight="1" thickBot="1">
      <c r="A29" s="316"/>
      <c r="B29" s="539"/>
      <c r="C29" s="367" t="s">
        <v>23</v>
      </c>
      <c r="D29" s="353">
        <f>D31</f>
        <v>72.915000000000006</v>
      </c>
      <c r="E29" s="353">
        <f>E31</f>
        <v>72.915000000000006</v>
      </c>
      <c r="F29" s="319"/>
      <c r="G29" s="319"/>
      <c r="H29" s="368"/>
      <c r="I29" s="321"/>
      <c r="J29" s="322"/>
      <c r="K29" s="322"/>
      <c r="L29" s="323"/>
      <c r="M29" s="369" t="s">
        <v>22</v>
      </c>
      <c r="N29" s="313">
        <v>1</v>
      </c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</row>
    <row r="30" spans="1:37" ht="39" customHeight="1" thickBot="1">
      <c r="A30" s="324" t="s">
        <v>69</v>
      </c>
      <c r="B30" s="541" t="s">
        <v>336</v>
      </c>
      <c r="C30" s="354" t="s">
        <v>21</v>
      </c>
      <c r="D30" s="370">
        <f>D31</f>
        <v>72.915000000000006</v>
      </c>
      <c r="E30" s="370">
        <f>E31</f>
        <v>72.915000000000006</v>
      </c>
      <c r="F30" s="327">
        <f t="shared" si="0"/>
        <v>1</v>
      </c>
      <c r="G30" s="327">
        <f t="shared" si="1"/>
        <v>1</v>
      </c>
      <c r="H30" s="328">
        <f>J30+K30</f>
        <v>70</v>
      </c>
      <c r="I30" s="329">
        <f t="shared" si="2"/>
        <v>25</v>
      </c>
      <c r="J30" s="330">
        <f>IF((G43&gt;0)*(G43&lt;5),10,0)</f>
        <v>10</v>
      </c>
      <c r="K30" s="330">
        <f>IF(L30=1,60,30)</f>
        <v>60</v>
      </c>
      <c r="L30" s="331">
        <f>IF(SUM(M31:Y31)=SUM(M32:Y32),1,2)</f>
        <v>1</v>
      </c>
      <c r="M30" s="371" t="s">
        <v>24</v>
      </c>
      <c r="N30" s="315">
        <v>1</v>
      </c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</row>
    <row r="31" spans="1:37" ht="33" customHeight="1" thickBot="1">
      <c r="A31" s="332"/>
      <c r="B31" s="549"/>
      <c r="C31" s="372" t="s">
        <v>23</v>
      </c>
      <c r="D31" s="373">
        <v>72.915000000000006</v>
      </c>
      <c r="E31" s="373">
        <v>72.915000000000006</v>
      </c>
      <c r="F31" s="342"/>
      <c r="G31" s="342"/>
      <c r="H31" s="343"/>
      <c r="I31" s="344"/>
      <c r="J31" s="345"/>
      <c r="K31" s="345"/>
      <c r="L31" s="346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</row>
    <row r="32" spans="1:37" ht="76.5" customHeight="1" thickBot="1">
      <c r="A32" s="304">
        <v>4</v>
      </c>
      <c r="B32" s="374" t="s">
        <v>337</v>
      </c>
      <c r="C32" s="375" t="s">
        <v>21</v>
      </c>
      <c r="D32" s="550" t="s">
        <v>333</v>
      </c>
      <c r="E32" s="551"/>
      <c r="F32" s="551"/>
      <c r="G32" s="551"/>
      <c r="H32" s="551"/>
      <c r="I32" s="551"/>
      <c r="J32" s="551"/>
      <c r="K32" s="552"/>
      <c r="L32" s="376">
        <f>IF(O33=P33,1,2)</f>
        <v>1</v>
      </c>
      <c r="M32" s="5" t="s">
        <v>161</v>
      </c>
      <c r="N32" s="377" t="s">
        <v>209</v>
      </c>
      <c r="O32" s="378" t="s">
        <v>22</v>
      </c>
      <c r="P32" s="379" t="s">
        <v>24</v>
      </c>
      <c r="Q32" s="380"/>
      <c r="R32" s="380"/>
      <c r="S32" s="380"/>
      <c r="T32" s="380"/>
      <c r="U32" s="380"/>
      <c r="V32" s="380"/>
      <c r="W32" s="380"/>
      <c r="X32" s="380"/>
      <c r="Y32" s="380"/>
      <c r="Z32" s="380"/>
      <c r="AA32" s="380"/>
      <c r="AB32" s="380"/>
      <c r="AC32" s="380"/>
      <c r="AD32" s="380"/>
      <c r="AE32" s="109"/>
      <c r="AF32" s="109"/>
      <c r="AG32" s="109"/>
      <c r="AH32" s="109"/>
      <c r="AI32" s="109"/>
      <c r="AJ32" s="109"/>
      <c r="AK32" s="109"/>
    </row>
    <row r="33" spans="1:30" ht="80.25" customHeight="1" thickBot="1">
      <c r="A33" s="324" t="s">
        <v>88</v>
      </c>
      <c r="B33" s="553" t="s">
        <v>338</v>
      </c>
      <c r="C33" s="381" t="s">
        <v>21</v>
      </c>
      <c r="D33" s="554" t="s">
        <v>333</v>
      </c>
      <c r="E33" s="555"/>
      <c r="F33" s="555"/>
      <c r="G33" s="555"/>
      <c r="H33" s="555"/>
      <c r="I33" s="555"/>
      <c r="J33" s="555"/>
      <c r="K33" s="556"/>
      <c r="L33" s="331"/>
      <c r="M33" s="382" t="s">
        <v>339</v>
      </c>
      <c r="N33" s="383" t="s">
        <v>261</v>
      </c>
      <c r="O33" s="384">
        <v>5.0999999999999996</v>
      </c>
      <c r="P33" s="384">
        <v>5.0999999999999996</v>
      </c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</row>
    <row r="34" spans="1:30" ht="27.75" customHeight="1">
      <c r="A34" s="338"/>
      <c r="B34" s="544"/>
      <c r="C34" s="358"/>
      <c r="D34" s="385"/>
      <c r="E34" s="385"/>
      <c r="F34" s="361"/>
      <c r="G34" s="361"/>
      <c r="H34" s="335"/>
      <c r="I34" s="309"/>
      <c r="J34" s="310"/>
      <c r="K34" s="310"/>
      <c r="L34" s="336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</row>
    <row r="35" spans="1:30" ht="27.75" customHeight="1" thickBot="1">
      <c r="A35" s="332"/>
      <c r="B35" s="545"/>
      <c r="C35" s="362"/>
      <c r="D35" s="363"/>
      <c r="E35" s="363"/>
      <c r="F35" s="364"/>
      <c r="G35" s="364"/>
      <c r="H35" s="343"/>
      <c r="I35" s="344"/>
      <c r="J35" s="345"/>
      <c r="K35" s="345"/>
      <c r="L35" s="346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</row>
    <row r="36" spans="1:30" ht="69" customHeight="1" thickBot="1">
      <c r="A36" s="296">
        <v>5</v>
      </c>
      <c r="B36" s="537" t="s">
        <v>340</v>
      </c>
      <c r="C36" s="297" t="s">
        <v>21</v>
      </c>
      <c r="D36" s="349">
        <f>D39+D43</f>
        <v>1169.9000000000001</v>
      </c>
      <c r="E36" s="349">
        <f>E39+E43</f>
        <v>1169.9000000000001</v>
      </c>
      <c r="F36" s="299">
        <f t="shared" si="0"/>
        <v>1</v>
      </c>
      <c r="G36" s="299">
        <f t="shared" si="1"/>
        <v>1</v>
      </c>
      <c r="H36" s="365">
        <f>(H39*E39+H43*E43)/E36</f>
        <v>80.148730660740227</v>
      </c>
      <c r="I36" s="301"/>
      <c r="J36" s="302"/>
      <c r="K36" s="302"/>
      <c r="L36" s="303">
        <f>IF(SUM(M37:Y37)=SUM(M38:Y38),1,2)</f>
        <v>2</v>
      </c>
      <c r="M36" s="5" t="s">
        <v>14</v>
      </c>
      <c r="N36" s="86" t="s">
        <v>341</v>
      </c>
      <c r="O36" s="87" t="s">
        <v>342</v>
      </c>
      <c r="P36" s="87" t="s">
        <v>343</v>
      </c>
      <c r="Q36" s="87" t="s">
        <v>344</v>
      </c>
      <c r="R36" s="87" t="s">
        <v>345</v>
      </c>
      <c r="S36" s="87" t="s">
        <v>346</v>
      </c>
      <c r="T36" s="87" t="s">
        <v>347</v>
      </c>
      <c r="U36" s="87" t="s">
        <v>348</v>
      </c>
      <c r="V36" s="87" t="s">
        <v>349</v>
      </c>
      <c r="W36" s="87" t="s">
        <v>350</v>
      </c>
      <c r="X36" s="88" t="s">
        <v>351</v>
      </c>
      <c r="Y36" s="290"/>
      <c r="Z36" s="290"/>
      <c r="AA36" s="290"/>
      <c r="AB36" s="290"/>
      <c r="AC36" s="290"/>
      <c r="AD36" s="290"/>
    </row>
    <row r="37" spans="1:30" ht="31.5" customHeight="1" thickBot="1">
      <c r="A37" s="304"/>
      <c r="B37" s="538"/>
      <c r="C37" s="305" t="s">
        <v>23</v>
      </c>
      <c r="D37" s="386">
        <f>D40+D44</f>
        <v>1169.9000000000001</v>
      </c>
      <c r="E37" s="386">
        <f>E40+E44</f>
        <v>1169.9000000000001</v>
      </c>
      <c r="F37" s="307"/>
      <c r="G37" s="307"/>
      <c r="H37" s="308"/>
      <c r="I37" s="309"/>
      <c r="J37" s="310"/>
      <c r="K37" s="310"/>
      <c r="L37" s="311"/>
      <c r="M37" s="387" t="s">
        <v>22</v>
      </c>
      <c r="N37" s="312">
        <v>1124.5</v>
      </c>
      <c r="O37" s="313">
        <v>7</v>
      </c>
      <c r="P37" s="388"/>
      <c r="Q37" s="388"/>
      <c r="R37" s="388"/>
      <c r="S37" s="388"/>
      <c r="T37" s="388"/>
      <c r="U37" s="388"/>
      <c r="V37" s="388"/>
      <c r="W37" s="388"/>
      <c r="X37" s="388"/>
      <c r="Y37" s="290"/>
      <c r="Z37" s="290"/>
      <c r="AA37" s="290"/>
      <c r="AB37" s="290"/>
      <c r="AC37" s="290"/>
      <c r="AD37" s="290"/>
    </row>
    <row r="38" spans="1:30" ht="24.75" customHeight="1" thickBot="1">
      <c r="A38" s="316"/>
      <c r="B38" s="539"/>
      <c r="C38" s="367"/>
      <c r="D38" s="389"/>
      <c r="E38" s="389"/>
      <c r="F38" s="319"/>
      <c r="G38" s="319"/>
      <c r="H38" s="368"/>
      <c r="I38" s="321"/>
      <c r="J38" s="322"/>
      <c r="K38" s="322"/>
      <c r="L38" s="323"/>
      <c r="M38" s="390" t="s">
        <v>24</v>
      </c>
      <c r="N38" s="314">
        <v>1172.3</v>
      </c>
      <c r="O38" s="315">
        <v>7</v>
      </c>
      <c r="P38" s="391"/>
      <c r="Q38" s="391"/>
      <c r="R38" s="391"/>
      <c r="S38" s="391"/>
      <c r="T38" s="391"/>
      <c r="U38" s="391"/>
      <c r="V38" s="391"/>
      <c r="W38" s="391"/>
      <c r="X38" s="391"/>
      <c r="Y38" s="290"/>
      <c r="Z38" s="290"/>
      <c r="AA38" s="290"/>
      <c r="AB38" s="290"/>
      <c r="AC38" s="290"/>
      <c r="AD38" s="290"/>
    </row>
    <row r="39" spans="1:30" ht="102" customHeight="1" thickBot="1">
      <c r="A39" s="324" t="s">
        <v>135</v>
      </c>
      <c r="B39" s="392" t="s">
        <v>352</v>
      </c>
      <c r="C39" s="393" t="s">
        <v>21</v>
      </c>
      <c r="D39" s="393">
        <v>17.399999999999999</v>
      </c>
      <c r="E39" s="393">
        <v>17.399999999999999</v>
      </c>
      <c r="F39" s="327">
        <f t="shared" si="0"/>
        <v>1</v>
      </c>
      <c r="G39" s="327">
        <f t="shared" si="1"/>
        <v>1</v>
      </c>
      <c r="H39" s="328">
        <f>I39+J39+K39</f>
        <v>90</v>
      </c>
      <c r="I39" s="329">
        <f t="shared" si="2"/>
        <v>25</v>
      </c>
      <c r="J39" s="330">
        <f>IF((G43&gt;0)*(G43&lt;5),10,0)</f>
        <v>10</v>
      </c>
      <c r="K39" s="330">
        <f t="shared" si="3"/>
        <v>55</v>
      </c>
      <c r="L39" s="331">
        <f>IF(SUM(M39:Y39)=SUM(M40:Y40),1,IF(SUM(M39:Y39)&gt;SUM(M40:Y40),1,2))</f>
        <v>1</v>
      </c>
      <c r="M39" s="390" t="s">
        <v>22</v>
      </c>
      <c r="N39" s="394"/>
      <c r="O39" s="391"/>
      <c r="P39" s="391"/>
      <c r="Q39" s="391"/>
      <c r="R39" s="391"/>
      <c r="S39" s="391"/>
      <c r="T39" s="391"/>
      <c r="U39" s="391"/>
      <c r="V39" s="391"/>
      <c r="W39" s="315">
        <v>10</v>
      </c>
      <c r="X39" s="315">
        <v>3</v>
      </c>
      <c r="Y39" s="290"/>
      <c r="Z39" s="290"/>
      <c r="AA39" s="290"/>
      <c r="AB39" s="290"/>
      <c r="AC39" s="290"/>
      <c r="AD39" s="290"/>
    </row>
    <row r="40" spans="1:30" ht="24.75" customHeight="1" thickBot="1">
      <c r="A40" s="338"/>
      <c r="B40" s="395"/>
      <c r="C40" s="396" t="s">
        <v>23</v>
      </c>
      <c r="D40" s="396">
        <v>17.399999999999999</v>
      </c>
      <c r="E40" s="396">
        <v>17.399999999999999</v>
      </c>
      <c r="F40" s="307"/>
      <c r="G40" s="307"/>
      <c r="H40" s="335"/>
      <c r="I40" s="309"/>
      <c r="J40" s="310"/>
      <c r="K40" s="310"/>
      <c r="L40" s="336"/>
      <c r="M40" s="390" t="s">
        <v>24</v>
      </c>
      <c r="N40" s="394"/>
      <c r="O40" s="391"/>
      <c r="P40" s="391"/>
      <c r="Q40" s="391"/>
      <c r="R40" s="391"/>
      <c r="S40" s="391"/>
      <c r="T40" s="391"/>
      <c r="U40" s="391"/>
      <c r="V40" s="391"/>
      <c r="W40" s="315">
        <v>3</v>
      </c>
      <c r="X40" s="315">
        <v>1</v>
      </c>
      <c r="Y40" s="290"/>
      <c r="Z40" s="290"/>
      <c r="AA40" s="290"/>
      <c r="AB40" s="290"/>
      <c r="AC40" s="290"/>
      <c r="AD40" s="290"/>
    </row>
    <row r="41" spans="1:30" ht="30" customHeight="1" thickBot="1">
      <c r="A41" s="338" t="s">
        <v>353</v>
      </c>
      <c r="B41" s="513" t="s">
        <v>354</v>
      </c>
      <c r="C41" s="396" t="s">
        <v>21</v>
      </c>
      <c r="D41" s="557" t="s">
        <v>333</v>
      </c>
      <c r="E41" s="558"/>
      <c r="F41" s="558"/>
      <c r="G41" s="558"/>
      <c r="H41" s="559"/>
      <c r="I41" s="309"/>
      <c r="J41" s="310"/>
      <c r="K41" s="310"/>
      <c r="L41" s="336"/>
      <c r="M41" s="390" t="s">
        <v>22</v>
      </c>
      <c r="N41" s="394"/>
      <c r="O41" s="391"/>
      <c r="P41" s="315">
        <v>0</v>
      </c>
      <c r="Q41" s="315">
        <v>56.4</v>
      </c>
      <c r="R41" s="315">
        <v>1068.0999999999999</v>
      </c>
      <c r="S41" s="315">
        <v>0</v>
      </c>
      <c r="T41" s="391"/>
      <c r="U41" s="391"/>
      <c r="V41" s="391"/>
      <c r="W41" s="315"/>
      <c r="X41" s="315"/>
      <c r="Y41" s="290"/>
      <c r="Z41" s="290"/>
      <c r="AA41" s="290"/>
      <c r="AB41" s="290"/>
      <c r="AC41" s="290"/>
      <c r="AD41" s="290"/>
    </row>
    <row r="42" spans="1:30" ht="28.5" customHeight="1" thickBot="1">
      <c r="A42" s="332"/>
      <c r="B42" s="513"/>
      <c r="C42" s="396" t="s">
        <v>23</v>
      </c>
      <c r="D42" s="560"/>
      <c r="E42" s="561"/>
      <c r="F42" s="561"/>
      <c r="G42" s="561"/>
      <c r="H42" s="562"/>
      <c r="I42" s="309"/>
      <c r="J42" s="310"/>
      <c r="K42" s="310"/>
      <c r="L42" s="336"/>
      <c r="M42" s="390" t="s">
        <v>24</v>
      </c>
      <c r="N42" s="394"/>
      <c r="O42" s="391"/>
      <c r="P42" s="315">
        <v>0</v>
      </c>
      <c r="Q42" s="315">
        <v>76.400000000000006</v>
      </c>
      <c r="R42" s="315">
        <v>1095.9000000000001</v>
      </c>
      <c r="S42" s="315">
        <v>0</v>
      </c>
      <c r="T42" s="391"/>
      <c r="U42" s="391"/>
      <c r="V42" s="391"/>
      <c r="W42" s="391"/>
      <c r="X42" s="391"/>
      <c r="Y42" s="290"/>
      <c r="Z42" s="290"/>
      <c r="AA42" s="290"/>
      <c r="AB42" s="290"/>
      <c r="AC42" s="290"/>
      <c r="AD42" s="290"/>
    </row>
    <row r="43" spans="1:30" ht="33" customHeight="1" thickBot="1">
      <c r="A43" s="324" t="s">
        <v>355</v>
      </c>
      <c r="B43" s="513" t="s">
        <v>356</v>
      </c>
      <c r="C43" s="396" t="s">
        <v>21</v>
      </c>
      <c r="D43" s="396">
        <v>1152.5</v>
      </c>
      <c r="E43" s="396">
        <v>1152.5</v>
      </c>
      <c r="F43" s="307">
        <f t="shared" si="0"/>
        <v>1</v>
      </c>
      <c r="G43" s="307">
        <f t="shared" si="1"/>
        <v>1</v>
      </c>
      <c r="H43" s="335">
        <f>J43+K43</f>
        <v>80</v>
      </c>
      <c r="I43" s="309">
        <f t="shared" si="2"/>
        <v>25</v>
      </c>
      <c r="J43" s="310">
        <f>IF((G43&gt;0)*(G43&lt;5),20,0)</f>
        <v>20</v>
      </c>
      <c r="K43" s="310">
        <f>IF(L43=1,60,30)</f>
        <v>60</v>
      </c>
      <c r="L43" s="336">
        <f>IF(SUM(M43:Y43)=SUM(M44:Y44),1,2)</f>
        <v>1</v>
      </c>
      <c r="M43" s="390" t="s">
        <v>22</v>
      </c>
      <c r="N43" s="394"/>
      <c r="O43" s="391"/>
      <c r="P43" s="391"/>
      <c r="Q43" s="391"/>
      <c r="R43" s="391"/>
      <c r="S43" s="391"/>
      <c r="T43" s="315">
        <v>7</v>
      </c>
      <c r="U43" s="315">
        <v>100</v>
      </c>
      <c r="V43" s="315">
        <v>100</v>
      </c>
      <c r="W43" s="391"/>
      <c r="X43" s="391"/>
      <c r="Y43" s="290"/>
      <c r="Z43" s="290"/>
      <c r="AA43" s="290"/>
      <c r="AB43" s="290"/>
      <c r="AC43" s="290"/>
      <c r="AD43" s="290"/>
    </row>
    <row r="44" spans="1:30" ht="23.25" customHeight="1" thickBot="1">
      <c r="A44" s="332"/>
      <c r="B44" s="540"/>
      <c r="C44" s="397" t="s">
        <v>23</v>
      </c>
      <c r="D44" s="397">
        <v>1152.5</v>
      </c>
      <c r="E44" s="397">
        <v>1152.5</v>
      </c>
      <c r="F44" s="342"/>
      <c r="G44" s="342"/>
      <c r="H44" s="343"/>
      <c r="I44" s="344"/>
      <c r="J44" s="345"/>
      <c r="K44" s="345"/>
      <c r="L44" s="346"/>
      <c r="M44" s="390" t="s">
        <v>24</v>
      </c>
      <c r="N44" s="394"/>
      <c r="O44" s="391"/>
      <c r="P44" s="391"/>
      <c r="Q44" s="391"/>
      <c r="R44" s="391"/>
      <c r="S44" s="391"/>
      <c r="T44" s="315">
        <v>7</v>
      </c>
      <c r="U44" s="315">
        <v>100</v>
      </c>
      <c r="V44" s="315">
        <v>100</v>
      </c>
      <c r="W44" s="391"/>
      <c r="X44" s="391"/>
      <c r="Y44" s="290"/>
      <c r="Z44" s="290"/>
      <c r="AA44" s="290"/>
      <c r="AB44" s="290"/>
      <c r="AC44" s="290"/>
      <c r="AD44" s="290"/>
    </row>
    <row r="45" spans="1:30" ht="78.75" customHeight="1" thickBot="1">
      <c r="A45" s="296">
        <v>6</v>
      </c>
      <c r="B45" s="537" t="s">
        <v>357</v>
      </c>
      <c r="C45" s="297" t="s">
        <v>21</v>
      </c>
      <c r="D45" s="398">
        <f>D48+D51</f>
        <v>12138.7</v>
      </c>
      <c r="E45" s="398">
        <f>E48+E51</f>
        <v>12138.7</v>
      </c>
      <c r="F45" s="299">
        <f t="shared" si="0"/>
        <v>1</v>
      </c>
      <c r="G45" s="299">
        <f t="shared" si="1"/>
        <v>1</v>
      </c>
      <c r="H45" s="365">
        <f>(H48*E48+H51*E51)/E45</f>
        <v>78.788997174326738</v>
      </c>
      <c r="I45" s="301"/>
      <c r="J45" s="302"/>
      <c r="K45" s="302"/>
      <c r="L45" s="303">
        <f>IF(SUM(M46:Y46)=SUM(M47:Y47),1,2)</f>
        <v>1</v>
      </c>
      <c r="M45" s="5" t="s">
        <v>14</v>
      </c>
      <c r="N45" s="86" t="s">
        <v>358</v>
      </c>
      <c r="O45" s="87" t="s">
        <v>359</v>
      </c>
      <c r="P45" s="87" t="s">
        <v>360</v>
      </c>
      <c r="Q45" s="87" t="s">
        <v>361</v>
      </c>
      <c r="R45" s="87" t="s">
        <v>362</v>
      </c>
      <c r="S45" s="87" t="s">
        <v>363</v>
      </c>
      <c r="T45" s="87" t="s">
        <v>364</v>
      </c>
      <c r="U45" s="87" t="s">
        <v>365</v>
      </c>
      <c r="V45" s="87" t="s">
        <v>366</v>
      </c>
      <c r="W45" s="87" t="s">
        <v>367</v>
      </c>
      <c r="X45" s="87" t="s">
        <v>368</v>
      </c>
      <c r="Y45" s="87" t="s">
        <v>369</v>
      </c>
      <c r="Z45" s="87" t="s">
        <v>370</v>
      </c>
      <c r="AA45" s="87" t="s">
        <v>371</v>
      </c>
      <c r="AB45" s="87" t="s">
        <v>372</v>
      </c>
      <c r="AC45" s="87" t="s">
        <v>373</v>
      </c>
      <c r="AD45" s="88" t="s">
        <v>374</v>
      </c>
    </row>
    <row r="46" spans="1:30" ht="28.5" customHeight="1" thickBot="1">
      <c r="A46" s="304"/>
      <c r="B46" s="538"/>
      <c r="C46" s="305" t="s">
        <v>29</v>
      </c>
      <c r="D46" s="399">
        <f>D49+D52</f>
        <v>4538.7</v>
      </c>
      <c r="E46" s="399">
        <f>E49+E52</f>
        <v>4538.7</v>
      </c>
      <c r="F46" s="307"/>
      <c r="G46" s="307"/>
      <c r="H46" s="308"/>
      <c r="I46" s="309"/>
      <c r="J46" s="310"/>
      <c r="K46" s="310"/>
      <c r="L46" s="311"/>
      <c r="M46" s="387" t="s">
        <v>22</v>
      </c>
      <c r="N46" s="400">
        <v>303.8</v>
      </c>
      <c r="O46" s="388">
        <v>303.8</v>
      </c>
      <c r="P46" s="388">
        <v>52</v>
      </c>
      <c r="Q46" s="388">
        <v>303.8</v>
      </c>
      <c r="R46" s="388">
        <v>918</v>
      </c>
      <c r="S46" s="388">
        <v>8.4</v>
      </c>
      <c r="T46" s="388"/>
      <c r="U46" s="388">
        <v>14</v>
      </c>
      <c r="V46" s="388">
        <v>0.57499999999999996</v>
      </c>
      <c r="W46" s="388">
        <v>0.125</v>
      </c>
      <c r="X46" s="388">
        <v>0.222</v>
      </c>
      <c r="Y46" s="388">
        <v>0.22800000000000001</v>
      </c>
      <c r="Z46" s="388">
        <v>0.157</v>
      </c>
      <c r="AA46" s="388">
        <v>0.63</v>
      </c>
      <c r="AB46" s="388">
        <v>0.60050000000000003</v>
      </c>
      <c r="AC46" s="388">
        <v>0.55000000000000004</v>
      </c>
      <c r="AD46" s="388">
        <v>0.2379</v>
      </c>
    </row>
    <row r="47" spans="1:30" ht="27.75" customHeight="1" thickBot="1">
      <c r="A47" s="316"/>
      <c r="B47" s="539"/>
      <c r="C47" s="401" t="s">
        <v>25</v>
      </c>
      <c r="D47" s="402">
        <v>7600</v>
      </c>
      <c r="E47" s="402">
        <v>7600</v>
      </c>
      <c r="F47" s="319"/>
      <c r="G47" s="319"/>
      <c r="H47" s="368"/>
      <c r="I47" s="321"/>
      <c r="J47" s="322"/>
      <c r="K47" s="322"/>
      <c r="L47" s="323"/>
      <c r="M47" s="390" t="s">
        <v>24</v>
      </c>
      <c r="N47" s="394">
        <v>303.8</v>
      </c>
      <c r="O47" s="391">
        <v>303.8</v>
      </c>
      <c r="P47" s="391">
        <v>52</v>
      </c>
      <c r="Q47" s="391">
        <v>303.8</v>
      </c>
      <c r="R47" s="391">
        <v>918</v>
      </c>
      <c r="S47" s="391">
        <v>8.4</v>
      </c>
      <c r="T47" s="391"/>
      <c r="U47" s="391">
        <v>14</v>
      </c>
      <c r="V47" s="391">
        <v>0.57499999999999996</v>
      </c>
      <c r="W47" s="391">
        <v>0.125</v>
      </c>
      <c r="X47" s="391">
        <v>0.222</v>
      </c>
      <c r="Y47" s="391">
        <v>0.22800000000000001</v>
      </c>
      <c r="Z47" s="391">
        <v>0.157</v>
      </c>
      <c r="AA47" s="391">
        <v>0.63</v>
      </c>
      <c r="AB47" s="391">
        <v>0.60050000000000003</v>
      </c>
      <c r="AC47" s="391">
        <v>0.55000000000000004</v>
      </c>
      <c r="AD47" s="391">
        <v>0.2379</v>
      </c>
    </row>
    <row r="48" spans="1:30" ht="97.5" customHeight="1" thickBot="1">
      <c r="A48" s="324" t="s">
        <v>142</v>
      </c>
      <c r="B48" s="541" t="s">
        <v>375</v>
      </c>
      <c r="C48" s="354" t="s">
        <v>21</v>
      </c>
      <c r="D48" s="403">
        <v>11718.7</v>
      </c>
      <c r="E48" s="403">
        <v>11718.7</v>
      </c>
      <c r="F48" s="327">
        <f t="shared" si="0"/>
        <v>1</v>
      </c>
      <c r="G48" s="327">
        <f t="shared" si="1"/>
        <v>1</v>
      </c>
      <c r="H48" s="328">
        <f>I48+J48+K48</f>
        <v>80</v>
      </c>
      <c r="I48" s="329">
        <f t="shared" si="2"/>
        <v>25</v>
      </c>
      <c r="J48" s="330">
        <f>IF([1]!Таблица256[[#This Row],[% экономии при выполнении программ/подпрограмм]],10,0)</f>
        <v>0</v>
      </c>
      <c r="K48" s="330">
        <f t="shared" si="3"/>
        <v>55</v>
      </c>
      <c r="L48" s="331">
        <f>IF(SUM(N46:AD46)=SUM(N47:AD47),1,2)</f>
        <v>1</v>
      </c>
      <c r="M48" s="5" t="s">
        <v>14</v>
      </c>
      <c r="N48" s="404" t="s">
        <v>376</v>
      </c>
      <c r="O48" s="405" t="s">
        <v>377</v>
      </c>
      <c r="P48" s="406" t="s">
        <v>378</v>
      </c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</row>
    <row r="49" spans="1:30" ht="31.5" customHeight="1" thickBot="1">
      <c r="A49" s="338"/>
      <c r="B49" s="542"/>
      <c r="C49" s="356" t="s">
        <v>23</v>
      </c>
      <c r="D49" s="407">
        <v>4118.7</v>
      </c>
      <c r="E49" s="407">
        <v>4118.7</v>
      </c>
      <c r="F49" s="307"/>
      <c r="G49" s="307"/>
      <c r="H49" s="335"/>
      <c r="I49" s="309"/>
      <c r="J49" s="310"/>
      <c r="K49" s="310"/>
      <c r="L49" s="336"/>
      <c r="M49" s="387" t="s">
        <v>22</v>
      </c>
      <c r="N49" s="408">
        <v>4.5</v>
      </c>
      <c r="O49" s="313">
        <v>4</v>
      </c>
      <c r="P49" s="313">
        <v>19</v>
      </c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</row>
    <row r="50" spans="1:30" ht="33" customHeight="1" thickBot="1">
      <c r="A50" s="332"/>
      <c r="B50" s="542"/>
      <c r="C50" s="356" t="s">
        <v>25</v>
      </c>
      <c r="D50" s="407">
        <v>7600</v>
      </c>
      <c r="E50" s="407">
        <v>7600</v>
      </c>
      <c r="F50" s="307"/>
      <c r="G50" s="307"/>
      <c r="H50" s="335"/>
      <c r="I50" s="309"/>
      <c r="J50" s="310"/>
      <c r="K50" s="310"/>
      <c r="L50" s="336"/>
      <c r="M50" s="390" t="s">
        <v>24</v>
      </c>
      <c r="N50" s="409">
        <v>1.1000000000000001</v>
      </c>
      <c r="O50" s="315">
        <v>4</v>
      </c>
      <c r="P50" s="315">
        <v>18</v>
      </c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</row>
    <row r="51" spans="1:30" ht="41.25" customHeight="1">
      <c r="A51" s="324" t="s">
        <v>148</v>
      </c>
      <c r="B51" s="542" t="s">
        <v>379</v>
      </c>
      <c r="C51" s="356" t="s">
        <v>21</v>
      </c>
      <c r="D51" s="410">
        <v>420</v>
      </c>
      <c r="E51" s="410">
        <v>420</v>
      </c>
      <c r="F51" s="307">
        <f t="shared" si="0"/>
        <v>1</v>
      </c>
      <c r="G51" s="307">
        <f t="shared" si="1"/>
        <v>1</v>
      </c>
      <c r="H51" s="335">
        <f>I51+J51+K51</f>
        <v>45</v>
      </c>
      <c r="I51" s="309">
        <f t="shared" si="2"/>
        <v>25</v>
      </c>
      <c r="J51" s="310">
        <f>IF((G51&gt;0)*(G51&lt;5),10,0)</f>
        <v>10</v>
      </c>
      <c r="K51" s="310">
        <f t="shared" si="3"/>
        <v>10</v>
      </c>
      <c r="L51" s="336">
        <f>IF(SUM(M49:Y49)=SUM(M50:Y50),1,2)</f>
        <v>2</v>
      </c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</row>
    <row r="52" spans="1:30" ht="26.25" customHeight="1">
      <c r="A52" s="338"/>
      <c r="B52" s="542"/>
      <c r="C52" s="356" t="s">
        <v>23</v>
      </c>
      <c r="D52" s="410">
        <v>420</v>
      </c>
      <c r="E52" s="410">
        <v>420</v>
      </c>
      <c r="F52" s="307"/>
      <c r="G52" s="307"/>
      <c r="H52" s="335"/>
      <c r="I52" s="309"/>
      <c r="J52" s="310"/>
      <c r="K52" s="310"/>
      <c r="L52" s="336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</row>
    <row r="53" spans="1:30" ht="21.75" customHeight="1">
      <c r="A53" s="338"/>
      <c r="B53" s="542"/>
      <c r="C53" s="333"/>
      <c r="D53" s="357"/>
      <c r="E53" s="357"/>
      <c r="F53" s="307"/>
      <c r="G53" s="307"/>
      <c r="H53" s="335"/>
      <c r="I53" s="309"/>
      <c r="J53" s="310"/>
      <c r="K53" s="310"/>
      <c r="L53" s="336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0"/>
    </row>
    <row r="54" spans="1:30" ht="26.25" customHeight="1" thickBot="1">
      <c r="A54" s="332"/>
      <c r="B54" s="549"/>
      <c r="C54" s="347"/>
      <c r="D54" s="411"/>
      <c r="E54" s="411"/>
      <c r="F54" s="342"/>
      <c r="G54" s="342"/>
      <c r="H54" s="343"/>
      <c r="I54" s="344"/>
      <c r="J54" s="345"/>
      <c r="K54" s="345"/>
      <c r="L54" s="346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</row>
    <row r="55" spans="1:30" ht="99" customHeight="1" thickBot="1">
      <c r="A55" s="296">
        <v>7</v>
      </c>
      <c r="B55" s="537" t="s">
        <v>380</v>
      </c>
      <c r="C55" s="297" t="s">
        <v>21</v>
      </c>
      <c r="D55" s="398">
        <f>D60+D64+D67</f>
        <v>5866.3</v>
      </c>
      <c r="E55" s="398">
        <f>E60+E64+E67+E72</f>
        <v>5866.3</v>
      </c>
      <c r="F55" s="299">
        <f t="shared" si="0"/>
        <v>1</v>
      </c>
      <c r="G55" s="299">
        <f t="shared" si="1"/>
        <v>1</v>
      </c>
      <c r="H55" s="412">
        <f>(H60*E60+H64*E64+H67*E67)/E55</f>
        <v>45.751751529925166</v>
      </c>
      <c r="I55" s="301"/>
      <c r="J55" s="302"/>
      <c r="K55" s="302"/>
      <c r="L55" s="303">
        <f>IF(SUM(M56:Y56)=SUM(M57:Y57),1,2)</f>
        <v>2</v>
      </c>
      <c r="M55" s="5" t="s">
        <v>14</v>
      </c>
      <c r="N55" s="260" t="s">
        <v>381</v>
      </c>
      <c r="O55" s="87" t="s">
        <v>382</v>
      </c>
      <c r="P55" s="87" t="s">
        <v>383</v>
      </c>
      <c r="Q55" s="87" t="s">
        <v>384</v>
      </c>
      <c r="R55" s="88" t="s">
        <v>385</v>
      </c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</row>
    <row r="56" spans="1:30" ht="26.25" customHeight="1" thickBot="1">
      <c r="A56" s="304"/>
      <c r="B56" s="538"/>
      <c r="C56" s="305" t="s">
        <v>23</v>
      </c>
      <c r="D56" s="399">
        <f>D61+D65+D68+D73</f>
        <v>4219.6000000000004</v>
      </c>
      <c r="E56" s="399">
        <f>E61+E65+E68+E73</f>
        <v>4219.6000000000004</v>
      </c>
      <c r="F56" s="307"/>
      <c r="G56" s="307"/>
      <c r="H56" s="308"/>
      <c r="I56" s="309"/>
      <c r="J56" s="310"/>
      <c r="K56" s="310"/>
      <c r="L56" s="311"/>
      <c r="M56" s="387" t="s">
        <v>22</v>
      </c>
      <c r="N56" s="413">
        <v>235</v>
      </c>
      <c r="O56" s="313">
        <v>8200</v>
      </c>
      <c r="P56" s="414">
        <v>1</v>
      </c>
      <c r="Q56" s="415">
        <v>0</v>
      </c>
      <c r="R56" s="415">
        <v>100</v>
      </c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</row>
    <row r="57" spans="1:30" ht="23.25" customHeight="1" thickBot="1">
      <c r="A57" s="304"/>
      <c r="B57" s="538"/>
      <c r="C57" s="305" t="s">
        <v>25</v>
      </c>
      <c r="D57" s="399"/>
      <c r="E57" s="399"/>
      <c r="F57" s="307"/>
      <c r="G57" s="307"/>
      <c r="H57" s="308"/>
      <c r="I57" s="309"/>
      <c r="J57" s="310"/>
      <c r="K57" s="310"/>
      <c r="L57" s="311"/>
      <c r="M57" s="390" t="s">
        <v>24</v>
      </c>
      <c r="N57" s="416">
        <v>209</v>
      </c>
      <c r="O57" s="315">
        <v>9921</v>
      </c>
      <c r="P57" s="417">
        <v>0</v>
      </c>
      <c r="Q57" s="418">
        <v>0</v>
      </c>
      <c r="R57" s="418">
        <v>100</v>
      </c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290"/>
      <c r="AD57" s="290"/>
    </row>
    <row r="58" spans="1:30" ht="28.5" customHeight="1">
      <c r="A58" s="304"/>
      <c r="B58" s="538"/>
      <c r="C58" s="305" t="s">
        <v>50</v>
      </c>
      <c r="D58" s="399"/>
      <c r="E58" s="399"/>
      <c r="F58" s="307"/>
      <c r="G58" s="307"/>
      <c r="H58" s="308"/>
      <c r="I58" s="309"/>
      <c r="J58" s="310"/>
      <c r="K58" s="310"/>
      <c r="L58" s="311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</row>
    <row r="59" spans="1:30" ht="36.75" customHeight="1" thickBot="1">
      <c r="A59" s="316"/>
      <c r="B59" s="419"/>
      <c r="C59" s="401" t="s">
        <v>172</v>
      </c>
      <c r="D59" s="420">
        <f>D63+D66</f>
        <v>1646.6999999999998</v>
      </c>
      <c r="E59" s="420">
        <f>E63+E66</f>
        <v>1646.6999999999998</v>
      </c>
      <c r="F59" s="319"/>
      <c r="G59" s="319"/>
      <c r="H59" s="368"/>
      <c r="I59" s="321"/>
      <c r="J59" s="322"/>
      <c r="K59" s="322"/>
      <c r="L59" s="323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</row>
    <row r="60" spans="1:30" ht="65.25" customHeight="1" thickBot="1">
      <c r="A60" s="324" t="s">
        <v>173</v>
      </c>
      <c r="B60" s="541" t="s">
        <v>386</v>
      </c>
      <c r="C60" s="325" t="s">
        <v>21</v>
      </c>
      <c r="D60" s="370">
        <f>D61+D63</f>
        <v>2559.3000000000002</v>
      </c>
      <c r="E60" s="370">
        <f>E61+E63</f>
        <v>2559.3000000000002</v>
      </c>
      <c r="F60" s="327">
        <f t="shared" si="0"/>
        <v>1</v>
      </c>
      <c r="G60" s="327">
        <f t="shared" si="1"/>
        <v>1</v>
      </c>
      <c r="H60" s="328">
        <f>I60+J60+K60</f>
        <v>45</v>
      </c>
      <c r="I60" s="329">
        <f t="shared" si="2"/>
        <v>25</v>
      </c>
      <c r="J60" s="330">
        <f>IF((G60&gt;0)*(G60&lt;5),10,0)</f>
        <v>10</v>
      </c>
      <c r="K60" s="330">
        <f t="shared" si="3"/>
        <v>10</v>
      </c>
      <c r="L60" s="331">
        <f>IF(SUM(M61:Y61)=SUM(M62:Y62),1,2)</f>
        <v>2</v>
      </c>
      <c r="M60" s="5" t="s">
        <v>14</v>
      </c>
      <c r="N60" s="86" t="s">
        <v>387</v>
      </c>
      <c r="O60" s="86" t="s">
        <v>388</v>
      </c>
      <c r="P60" s="88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</row>
    <row r="61" spans="1:30" ht="27.75" customHeight="1" thickBot="1">
      <c r="A61" s="338"/>
      <c r="B61" s="542"/>
      <c r="C61" s="333" t="s">
        <v>23</v>
      </c>
      <c r="D61" s="421">
        <v>1687.5</v>
      </c>
      <c r="E61" s="421">
        <v>1687.5</v>
      </c>
      <c r="F61" s="307"/>
      <c r="G61" s="307"/>
      <c r="H61" s="335"/>
      <c r="I61" s="309"/>
      <c r="J61" s="310"/>
      <c r="K61" s="310"/>
      <c r="L61" s="336"/>
      <c r="M61" s="387" t="s">
        <v>22</v>
      </c>
      <c r="N61" s="422">
        <v>35</v>
      </c>
      <c r="O61" s="313">
        <v>200</v>
      </c>
      <c r="P61" s="313"/>
      <c r="Q61" s="290"/>
      <c r="R61" s="290"/>
      <c r="S61" s="290"/>
      <c r="T61" s="290"/>
      <c r="U61" s="290"/>
      <c r="V61" s="290"/>
      <c r="W61" s="290"/>
      <c r="X61" s="290"/>
      <c r="Y61" s="290"/>
      <c r="Z61" s="290"/>
      <c r="AA61" s="290"/>
      <c r="AB61" s="290"/>
      <c r="AC61" s="290"/>
      <c r="AD61" s="290"/>
    </row>
    <row r="62" spans="1:30" ht="27.75" customHeight="1" thickBot="1">
      <c r="A62" s="338"/>
      <c r="B62" s="542"/>
      <c r="C62" s="333" t="s">
        <v>25</v>
      </c>
      <c r="D62" s="423"/>
      <c r="E62" s="423"/>
      <c r="F62" s="307"/>
      <c r="G62" s="307"/>
      <c r="H62" s="335"/>
      <c r="I62" s="309"/>
      <c r="J62" s="310"/>
      <c r="K62" s="310"/>
      <c r="L62" s="336"/>
      <c r="M62" s="390" t="s">
        <v>24</v>
      </c>
      <c r="N62" s="314">
        <v>25</v>
      </c>
      <c r="O62" s="315">
        <v>184</v>
      </c>
      <c r="P62" s="315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/>
      <c r="AB62" s="290"/>
      <c r="AC62" s="290"/>
      <c r="AD62" s="290"/>
    </row>
    <row r="63" spans="1:30" ht="36" customHeight="1" thickBot="1">
      <c r="A63" s="332"/>
      <c r="B63" s="542"/>
      <c r="C63" s="333" t="s">
        <v>172</v>
      </c>
      <c r="D63" s="421">
        <v>871.8</v>
      </c>
      <c r="E63" s="421">
        <v>871.8</v>
      </c>
      <c r="F63" s="307"/>
      <c r="G63" s="307"/>
      <c r="H63" s="335"/>
      <c r="I63" s="309"/>
      <c r="J63" s="310"/>
      <c r="K63" s="310"/>
      <c r="L63" s="336"/>
      <c r="M63" s="290"/>
      <c r="N63" s="290"/>
      <c r="O63" s="290"/>
      <c r="P63" s="290"/>
      <c r="Q63" s="290"/>
      <c r="R63" s="290"/>
      <c r="S63" s="290"/>
      <c r="T63" s="290"/>
      <c r="U63" s="290"/>
      <c r="V63" s="290"/>
      <c r="W63" s="290"/>
      <c r="X63" s="290"/>
      <c r="Y63" s="290"/>
      <c r="Z63" s="290"/>
      <c r="AA63" s="290"/>
      <c r="AB63" s="290"/>
      <c r="AC63" s="290"/>
      <c r="AD63" s="290"/>
    </row>
    <row r="64" spans="1:30" ht="66" customHeight="1" thickBot="1">
      <c r="A64" s="324" t="s">
        <v>175</v>
      </c>
      <c r="B64" s="542" t="s">
        <v>389</v>
      </c>
      <c r="C64" s="333" t="s">
        <v>21</v>
      </c>
      <c r="D64" s="423">
        <f>D65+D66</f>
        <v>3209</v>
      </c>
      <c r="E64" s="423">
        <f>E65+E66</f>
        <v>3209</v>
      </c>
      <c r="F64" s="307">
        <f t="shared" si="0"/>
        <v>1</v>
      </c>
      <c r="G64" s="307">
        <f t="shared" si="1"/>
        <v>1</v>
      </c>
      <c r="H64" s="424">
        <f>I64+J64+K64</f>
        <v>45</v>
      </c>
      <c r="I64" s="309">
        <f t="shared" si="2"/>
        <v>25</v>
      </c>
      <c r="J64" s="310">
        <f>IF((G64&gt;0)*(G64&lt;5),10,0)</f>
        <v>10</v>
      </c>
      <c r="K64" s="310">
        <f t="shared" si="3"/>
        <v>10</v>
      </c>
      <c r="L64" s="336">
        <f>IF(SUM(M65:Y65)=SUM(M66:Y66),1,2)</f>
        <v>2</v>
      </c>
      <c r="M64" s="5" t="s">
        <v>14</v>
      </c>
      <c r="N64" s="86" t="s">
        <v>390</v>
      </c>
      <c r="O64" s="87" t="s">
        <v>391</v>
      </c>
      <c r="P64" s="88" t="s">
        <v>392</v>
      </c>
      <c r="Q64" s="290"/>
      <c r="R64" s="290"/>
      <c r="S64" s="290"/>
      <c r="T64" s="290"/>
      <c r="U64" s="290"/>
      <c r="V64" s="290"/>
      <c r="W64" s="290"/>
      <c r="X64" s="290"/>
      <c r="Y64" s="290"/>
      <c r="Z64" s="290"/>
      <c r="AA64" s="290"/>
      <c r="AB64" s="290"/>
      <c r="AC64" s="290"/>
      <c r="AD64" s="290"/>
    </row>
    <row r="65" spans="1:30" ht="28.5" customHeight="1" thickBot="1">
      <c r="A65" s="338"/>
      <c r="B65" s="542"/>
      <c r="C65" s="333" t="s">
        <v>23</v>
      </c>
      <c r="D65" s="421">
        <v>2434.1</v>
      </c>
      <c r="E65" s="421">
        <v>2434.1</v>
      </c>
      <c r="F65" s="307"/>
      <c r="G65" s="307"/>
      <c r="H65" s="424"/>
      <c r="I65" s="309"/>
      <c r="J65" s="310"/>
      <c r="K65" s="310"/>
      <c r="L65" s="336"/>
      <c r="M65" s="387" t="s">
        <v>22</v>
      </c>
      <c r="N65" s="422">
        <v>8200</v>
      </c>
      <c r="O65" s="313">
        <v>100</v>
      </c>
      <c r="P65" s="313">
        <v>100</v>
      </c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290"/>
      <c r="AD65" s="290"/>
    </row>
    <row r="66" spans="1:30" ht="36" customHeight="1" thickBot="1">
      <c r="A66" s="332"/>
      <c r="B66" s="542"/>
      <c r="C66" s="333" t="s">
        <v>172</v>
      </c>
      <c r="D66" s="421">
        <v>774.9</v>
      </c>
      <c r="E66" s="421">
        <v>774.9</v>
      </c>
      <c r="F66" s="307"/>
      <c r="G66" s="307"/>
      <c r="H66" s="424"/>
      <c r="I66" s="309"/>
      <c r="J66" s="310"/>
      <c r="K66" s="310"/>
      <c r="L66" s="336"/>
      <c r="M66" s="390" t="s">
        <v>24</v>
      </c>
      <c r="N66" s="314">
        <v>9921</v>
      </c>
      <c r="O66" s="315">
        <v>100</v>
      </c>
      <c r="P66" s="315">
        <v>100</v>
      </c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290"/>
      <c r="AC66" s="290"/>
      <c r="AD66" s="290"/>
    </row>
    <row r="67" spans="1:30" ht="104.25" customHeight="1" thickBot="1">
      <c r="A67" s="324" t="s">
        <v>177</v>
      </c>
      <c r="B67" s="542" t="s">
        <v>393</v>
      </c>
      <c r="C67" s="356" t="s">
        <v>21</v>
      </c>
      <c r="D67" s="423">
        <f>D68+D69+D70+D71</f>
        <v>98</v>
      </c>
      <c r="E67" s="423">
        <f>E68+E69+E70+E71</f>
        <v>98</v>
      </c>
      <c r="F67" s="307">
        <f t="shared" si="0"/>
        <v>1</v>
      </c>
      <c r="G67" s="307">
        <f t="shared" si="1"/>
        <v>1</v>
      </c>
      <c r="H67" s="335">
        <f>I67+J67+K67</f>
        <v>90</v>
      </c>
      <c r="I67" s="309">
        <f t="shared" si="2"/>
        <v>25</v>
      </c>
      <c r="J67" s="310">
        <f>IF((G67&gt;0)*(G67&lt;5),10,0)</f>
        <v>10</v>
      </c>
      <c r="K67" s="310">
        <f t="shared" si="3"/>
        <v>55</v>
      </c>
      <c r="L67" s="336">
        <f>IF(SUM(M68:Y68)=SUM(M69:Y69),1,2)</f>
        <v>1</v>
      </c>
      <c r="M67" s="5" t="s">
        <v>14</v>
      </c>
      <c r="N67" s="382" t="s">
        <v>394</v>
      </c>
      <c r="O67" s="290"/>
      <c r="P67" s="290"/>
      <c r="Q67" s="290"/>
      <c r="R67" s="290"/>
      <c r="S67" s="290"/>
      <c r="T67" s="290"/>
      <c r="U67" s="290"/>
      <c r="V67" s="290"/>
      <c r="W67" s="290"/>
      <c r="X67" s="290"/>
      <c r="Y67" s="290"/>
      <c r="Z67" s="290"/>
      <c r="AA67" s="290"/>
      <c r="AB67" s="290"/>
      <c r="AC67" s="290"/>
      <c r="AD67" s="290"/>
    </row>
    <row r="68" spans="1:30" ht="24.75" customHeight="1" thickBot="1">
      <c r="A68" s="338"/>
      <c r="B68" s="542"/>
      <c r="C68" s="356" t="s">
        <v>23</v>
      </c>
      <c r="D68" s="425">
        <v>98</v>
      </c>
      <c r="E68" s="425">
        <v>98</v>
      </c>
      <c r="F68" s="307"/>
      <c r="G68" s="307"/>
      <c r="H68" s="335"/>
      <c r="I68" s="309"/>
      <c r="J68" s="310"/>
      <c r="K68" s="310"/>
      <c r="L68" s="336"/>
      <c r="M68" s="387" t="s">
        <v>22</v>
      </c>
      <c r="N68" s="422">
        <v>0</v>
      </c>
      <c r="O68" s="290"/>
      <c r="P68" s="290"/>
      <c r="Q68" s="290"/>
      <c r="R68" s="290"/>
      <c r="S68" s="290"/>
      <c r="T68" s="290"/>
      <c r="U68" s="290"/>
      <c r="V68" s="290"/>
      <c r="W68" s="290"/>
      <c r="X68" s="290"/>
      <c r="Y68" s="290"/>
      <c r="Z68" s="290"/>
      <c r="AA68" s="290"/>
      <c r="AB68" s="290"/>
      <c r="AC68" s="290"/>
      <c r="AD68" s="290"/>
    </row>
    <row r="69" spans="1:30" ht="26.25" customHeight="1" thickBot="1">
      <c r="A69" s="338"/>
      <c r="B69" s="542"/>
      <c r="C69" s="356" t="s">
        <v>25</v>
      </c>
      <c r="D69" s="426">
        <v>0</v>
      </c>
      <c r="E69" s="426">
        <v>0</v>
      </c>
      <c r="F69" s="307"/>
      <c r="G69" s="307"/>
      <c r="H69" s="335"/>
      <c r="I69" s="309"/>
      <c r="J69" s="310"/>
      <c r="K69" s="310"/>
      <c r="L69" s="336"/>
      <c r="M69" s="390" t="s">
        <v>24</v>
      </c>
      <c r="N69" s="314">
        <v>0</v>
      </c>
      <c r="O69" s="290"/>
      <c r="P69" s="290"/>
      <c r="Q69" s="290"/>
      <c r="R69" s="290"/>
      <c r="S69" s="290"/>
      <c r="T69" s="290"/>
      <c r="U69" s="290"/>
      <c r="V69" s="290"/>
      <c r="W69" s="290"/>
      <c r="X69" s="290"/>
      <c r="Y69" s="290"/>
      <c r="Z69" s="290"/>
      <c r="AA69" s="290"/>
      <c r="AB69" s="290"/>
      <c r="AC69" s="290"/>
      <c r="AD69" s="290"/>
    </row>
    <row r="70" spans="1:30" ht="36" customHeight="1" thickBot="1">
      <c r="A70" s="338"/>
      <c r="B70" s="542"/>
      <c r="C70" s="356" t="s">
        <v>50</v>
      </c>
      <c r="D70" s="426">
        <v>0</v>
      </c>
      <c r="E70" s="426">
        <v>0</v>
      </c>
      <c r="F70" s="307"/>
      <c r="G70" s="307"/>
      <c r="H70" s="335"/>
      <c r="I70" s="309"/>
      <c r="J70" s="310"/>
      <c r="K70" s="310"/>
      <c r="L70" s="336"/>
      <c r="M70" s="290"/>
      <c r="N70" s="290"/>
      <c r="O70" s="290"/>
      <c r="P70" s="290"/>
      <c r="Q70" s="290"/>
      <c r="R70" s="290"/>
      <c r="S70" s="290"/>
      <c r="T70" s="290"/>
      <c r="U70" s="290"/>
      <c r="V70" s="290"/>
      <c r="W70" s="290"/>
      <c r="X70" s="290"/>
      <c r="Y70" s="290"/>
      <c r="Z70" s="290"/>
      <c r="AA70" s="290"/>
      <c r="AB70" s="290"/>
      <c r="AC70" s="290"/>
      <c r="AD70" s="290"/>
    </row>
    <row r="71" spans="1:30" ht="64.5" customHeight="1" thickBot="1">
      <c r="A71" s="332"/>
      <c r="B71" s="542"/>
      <c r="C71" s="333"/>
      <c r="D71" s="423"/>
      <c r="E71" s="423"/>
      <c r="F71" s="307"/>
      <c r="G71" s="307"/>
      <c r="H71" s="335"/>
      <c r="I71" s="309"/>
      <c r="J71" s="310"/>
      <c r="K71" s="310"/>
      <c r="L71" s="336"/>
      <c r="M71" s="5" t="s">
        <v>14</v>
      </c>
      <c r="N71" s="88" t="s">
        <v>395</v>
      </c>
      <c r="O71" s="290"/>
      <c r="P71" s="290"/>
      <c r="Q71" s="290"/>
      <c r="R71" s="290"/>
      <c r="S71" s="290"/>
      <c r="T71" s="290"/>
      <c r="U71" s="290"/>
      <c r="V71" s="290"/>
      <c r="W71" s="290"/>
      <c r="X71" s="290"/>
      <c r="Y71" s="290"/>
      <c r="Z71" s="290"/>
      <c r="AA71" s="290"/>
      <c r="AB71" s="290"/>
      <c r="AC71" s="290"/>
      <c r="AD71" s="290"/>
    </row>
    <row r="72" spans="1:30" ht="33" customHeight="1" thickBot="1">
      <c r="A72" s="324" t="s">
        <v>396</v>
      </c>
      <c r="B72" s="544" t="s">
        <v>397</v>
      </c>
      <c r="C72" s="358" t="s">
        <v>21</v>
      </c>
      <c r="D72" s="546" t="s">
        <v>333</v>
      </c>
      <c r="E72" s="547"/>
      <c r="F72" s="547"/>
      <c r="G72" s="547"/>
      <c r="H72" s="547"/>
      <c r="I72" s="547"/>
      <c r="J72" s="547"/>
      <c r="K72" s="548"/>
      <c r="L72" s="359">
        <f>IF(SUM(M72:Y72)=SUM(M73:Y73),1,2)</f>
        <v>1</v>
      </c>
      <c r="M72" s="387" t="s">
        <v>22</v>
      </c>
      <c r="N72" s="313">
        <v>0</v>
      </c>
      <c r="O72" s="290"/>
      <c r="P72" s="290"/>
      <c r="Q72" s="290"/>
      <c r="R72" s="290"/>
      <c r="S72" s="290"/>
      <c r="T72" s="290"/>
      <c r="U72" s="290"/>
      <c r="V72" s="290"/>
      <c r="W72" s="290"/>
      <c r="X72" s="290"/>
      <c r="Y72" s="290"/>
      <c r="Z72" s="290"/>
      <c r="AA72" s="290"/>
      <c r="AB72" s="290"/>
      <c r="AC72" s="290"/>
      <c r="AD72" s="290"/>
    </row>
    <row r="73" spans="1:30" ht="21" customHeight="1" thickBot="1">
      <c r="A73" s="338"/>
      <c r="B73" s="544"/>
      <c r="C73" s="358" t="s">
        <v>23</v>
      </c>
      <c r="D73" s="427">
        <v>0</v>
      </c>
      <c r="E73" s="427">
        <v>0</v>
      </c>
      <c r="F73" s="307"/>
      <c r="G73" s="307"/>
      <c r="H73" s="335"/>
      <c r="I73" s="309"/>
      <c r="J73" s="310"/>
      <c r="K73" s="310"/>
      <c r="L73" s="336"/>
      <c r="M73" s="390" t="s">
        <v>24</v>
      </c>
      <c r="N73" s="315">
        <v>0</v>
      </c>
      <c r="O73" s="290"/>
      <c r="P73" s="290"/>
      <c r="Q73" s="290"/>
      <c r="R73" s="290"/>
      <c r="S73" s="290"/>
      <c r="T73" s="290"/>
      <c r="U73" s="290"/>
      <c r="V73" s="290"/>
      <c r="W73" s="290"/>
      <c r="X73" s="290"/>
      <c r="Y73" s="290"/>
      <c r="Z73" s="290"/>
      <c r="AA73" s="290"/>
      <c r="AB73" s="290"/>
      <c r="AC73" s="290"/>
      <c r="AD73" s="290"/>
    </row>
    <row r="74" spans="1:30" ht="26.25" customHeight="1">
      <c r="A74" s="338"/>
      <c r="B74" s="544"/>
      <c r="C74" s="358" t="s">
        <v>25</v>
      </c>
      <c r="D74" s="427">
        <v>0</v>
      </c>
      <c r="E74" s="427">
        <v>0</v>
      </c>
      <c r="F74" s="307"/>
      <c r="G74" s="307"/>
      <c r="H74" s="335"/>
      <c r="I74" s="309"/>
      <c r="J74" s="310"/>
      <c r="K74" s="310"/>
      <c r="L74" s="336"/>
      <c r="M74" s="290"/>
      <c r="N74" s="290"/>
      <c r="O74" s="290"/>
      <c r="P74" s="290"/>
      <c r="Q74" s="290"/>
      <c r="R74" s="290"/>
      <c r="S74" s="290"/>
      <c r="T74" s="290"/>
      <c r="U74" s="290"/>
      <c r="V74" s="290"/>
      <c r="W74" s="290"/>
      <c r="X74" s="290"/>
      <c r="Y74" s="290"/>
      <c r="Z74" s="290"/>
      <c r="AA74" s="290"/>
      <c r="AB74" s="290"/>
      <c r="AC74" s="290"/>
      <c r="AD74" s="290"/>
    </row>
    <row r="75" spans="1:30" ht="36.75" customHeight="1" thickBot="1">
      <c r="A75" s="332"/>
      <c r="B75" s="545"/>
      <c r="C75" s="362" t="s">
        <v>50</v>
      </c>
      <c r="D75" s="428">
        <v>0</v>
      </c>
      <c r="E75" s="428">
        <v>0</v>
      </c>
      <c r="F75" s="342"/>
      <c r="G75" s="342"/>
      <c r="H75" s="343"/>
      <c r="I75" s="344"/>
      <c r="J75" s="345"/>
      <c r="K75" s="345"/>
      <c r="L75" s="346"/>
      <c r="M75" s="290"/>
      <c r="N75" s="290"/>
      <c r="O75" s="290"/>
      <c r="P75" s="290"/>
      <c r="Q75" s="290"/>
      <c r="R75" s="290"/>
      <c r="S75" s="290"/>
      <c r="T75" s="290"/>
      <c r="U75" s="290"/>
      <c r="V75" s="290"/>
      <c r="W75" s="290"/>
      <c r="X75" s="290"/>
      <c r="Y75" s="290"/>
      <c r="Z75" s="290"/>
      <c r="AA75" s="290"/>
      <c r="AB75" s="290"/>
      <c r="AC75" s="290"/>
      <c r="AD75" s="290"/>
    </row>
    <row r="76" spans="1:30" ht="84" customHeight="1" thickBot="1">
      <c r="A76" s="296">
        <v>8</v>
      </c>
      <c r="B76" s="429" t="s">
        <v>398</v>
      </c>
      <c r="C76" s="430" t="s">
        <v>21</v>
      </c>
      <c r="D76" s="431">
        <f>D80+D83+D85+D87+D89</f>
        <v>14691.548190000001</v>
      </c>
      <c r="E76" s="398">
        <f>E80+E83+E85+E87+E89</f>
        <v>14691.548190000001</v>
      </c>
      <c r="F76" s="299">
        <f t="shared" ref="F76:F113" si="4">E76/D76*100%</f>
        <v>1</v>
      </c>
      <c r="G76" s="299">
        <f t="shared" ref="G76:G113" si="5">E76/D76*100%</f>
        <v>1</v>
      </c>
      <c r="H76" s="365">
        <f>(H80*E80+H83*E83+H85*E85+H87*E87+H89*E89)/E76</f>
        <v>79.999999999999986</v>
      </c>
      <c r="I76" s="301"/>
      <c r="J76" s="302"/>
      <c r="K76" s="302"/>
      <c r="L76" s="303">
        <f>IF(SUM(M77:Y77)=SUM(M78:Y78),1,2)</f>
        <v>1</v>
      </c>
      <c r="M76" s="5" t="s">
        <v>14</v>
      </c>
      <c r="N76" s="260" t="s">
        <v>399</v>
      </c>
      <c r="O76" s="87" t="s">
        <v>400</v>
      </c>
      <c r="P76" s="87" t="s">
        <v>401</v>
      </c>
      <c r="Q76" s="87" t="s">
        <v>402</v>
      </c>
      <c r="R76" s="87" t="s">
        <v>403</v>
      </c>
      <c r="S76" s="88" t="s">
        <v>404</v>
      </c>
      <c r="T76" s="290"/>
      <c r="U76" s="290"/>
      <c r="V76" s="290"/>
      <c r="W76" s="290"/>
      <c r="X76" s="290"/>
      <c r="Y76" s="290"/>
      <c r="Z76" s="290"/>
      <c r="AA76" s="290"/>
      <c r="AB76" s="290"/>
      <c r="AC76" s="290"/>
      <c r="AD76" s="290"/>
    </row>
    <row r="77" spans="1:30" ht="36.75" customHeight="1" thickBot="1">
      <c r="A77" s="304"/>
      <c r="B77" s="432"/>
      <c r="C77" s="433" t="s">
        <v>23</v>
      </c>
      <c r="D77" s="399">
        <f>D81+D84+D86+D88+D90</f>
        <v>14691.548190000001</v>
      </c>
      <c r="E77" s="399">
        <f>E81+E84+E86+E88+E90</f>
        <v>14691.548190000001</v>
      </c>
      <c r="F77" s="307"/>
      <c r="G77" s="307"/>
      <c r="H77" s="308"/>
      <c r="I77" s="309"/>
      <c r="J77" s="310"/>
      <c r="K77" s="310"/>
      <c r="L77" s="311"/>
      <c r="M77" s="387" t="s">
        <v>22</v>
      </c>
      <c r="N77" s="312">
        <v>99</v>
      </c>
      <c r="O77" s="313">
        <v>8.6999999999999993</v>
      </c>
      <c r="P77" s="313">
        <v>91.26</v>
      </c>
      <c r="Q77" s="313">
        <v>1200</v>
      </c>
      <c r="R77" s="313">
        <v>59</v>
      </c>
      <c r="S77" s="313">
        <v>7.24</v>
      </c>
      <c r="T77" s="290"/>
      <c r="U77" s="290"/>
      <c r="V77" s="290"/>
      <c r="W77" s="290"/>
      <c r="X77" s="290"/>
      <c r="Y77" s="290"/>
      <c r="Z77" s="290"/>
      <c r="AA77" s="290"/>
      <c r="AB77" s="290"/>
      <c r="AC77" s="290"/>
      <c r="AD77" s="290"/>
    </row>
    <row r="78" spans="1:30" ht="30" customHeight="1" thickBot="1">
      <c r="A78" s="304"/>
      <c r="B78" s="432"/>
      <c r="C78" s="433" t="s">
        <v>25</v>
      </c>
      <c r="D78" s="399">
        <v>0</v>
      </c>
      <c r="E78" s="399">
        <v>0</v>
      </c>
      <c r="F78" s="307"/>
      <c r="G78" s="307"/>
      <c r="H78" s="308"/>
      <c r="I78" s="309"/>
      <c r="J78" s="310"/>
      <c r="K78" s="310"/>
      <c r="L78" s="311"/>
      <c r="M78" s="390" t="s">
        <v>24</v>
      </c>
      <c r="N78" s="314">
        <v>99</v>
      </c>
      <c r="O78" s="315">
        <v>8.6999999999999993</v>
      </c>
      <c r="P78" s="315">
        <v>91.26</v>
      </c>
      <c r="Q78" s="315">
        <v>1200</v>
      </c>
      <c r="R78" s="315">
        <v>59</v>
      </c>
      <c r="S78" s="315">
        <v>7.24</v>
      </c>
      <c r="T78" s="290"/>
      <c r="U78" s="290"/>
      <c r="V78" s="290"/>
      <c r="W78" s="290"/>
      <c r="X78" s="290"/>
      <c r="Y78" s="290"/>
      <c r="Z78" s="290"/>
      <c r="AA78" s="290"/>
      <c r="AB78" s="290"/>
      <c r="AC78" s="290"/>
      <c r="AD78" s="290"/>
    </row>
    <row r="79" spans="1:30" ht="31.5" customHeight="1" thickBot="1">
      <c r="A79" s="316"/>
      <c r="B79" s="419"/>
      <c r="C79" s="317" t="s">
        <v>50</v>
      </c>
      <c r="D79" s="434"/>
      <c r="E79" s="434"/>
      <c r="F79" s="319"/>
      <c r="G79" s="319"/>
      <c r="H79" s="435"/>
      <c r="I79" s="321"/>
      <c r="J79" s="322"/>
      <c r="K79" s="322"/>
      <c r="L79" s="323"/>
      <c r="M79" s="290"/>
      <c r="N79" s="290"/>
      <c r="O79" s="290"/>
      <c r="P79" s="290"/>
      <c r="Q79" s="290"/>
      <c r="R79" s="290"/>
      <c r="S79" s="290"/>
      <c r="T79" s="290"/>
      <c r="U79" s="290"/>
      <c r="V79" s="290"/>
      <c r="W79" s="290"/>
      <c r="X79" s="290"/>
      <c r="Y79" s="290"/>
      <c r="Z79" s="290"/>
      <c r="AA79" s="290"/>
      <c r="AB79" s="290"/>
      <c r="AC79" s="290"/>
      <c r="AD79" s="290"/>
    </row>
    <row r="80" spans="1:30" ht="88.5" customHeight="1" thickBot="1">
      <c r="A80" s="324" t="s">
        <v>188</v>
      </c>
      <c r="B80" s="392" t="s">
        <v>405</v>
      </c>
      <c r="C80" s="436" t="s">
        <v>21</v>
      </c>
      <c r="D80" s="437">
        <v>4211.3831600000003</v>
      </c>
      <c r="E80" s="437">
        <v>4211.3831600000003</v>
      </c>
      <c r="F80" s="327">
        <f t="shared" si="4"/>
        <v>1</v>
      </c>
      <c r="G80" s="327">
        <f t="shared" si="5"/>
        <v>1</v>
      </c>
      <c r="H80" s="328">
        <f>J80+K80</f>
        <v>80</v>
      </c>
      <c r="I80" s="329">
        <f t="shared" ref="I80:I113" si="6">IF(G80=1,25,IF((G80&gt;0.9)*(G80&lt;1),0,IF((G80&gt;0.7)*(G80&lt;0.9),-10,-25)))</f>
        <v>25</v>
      </c>
      <c r="J80" s="330">
        <f>IF((G80&gt;0)*(G80&lt;5),20,0)</f>
        <v>20</v>
      </c>
      <c r="K80" s="330">
        <f>IF(L80=1,60,30)</f>
        <v>60</v>
      </c>
      <c r="L80" s="331">
        <f>IF(SUM(N81:O81)=SUM(N82:O82),1,2)</f>
        <v>1</v>
      </c>
      <c r="M80" s="5" t="s">
        <v>14</v>
      </c>
      <c r="N80" s="86" t="s">
        <v>406</v>
      </c>
      <c r="O80" s="87" t="s">
        <v>407</v>
      </c>
      <c r="P80" s="87" t="s">
        <v>408</v>
      </c>
      <c r="Q80" s="87" t="s">
        <v>409</v>
      </c>
      <c r="R80" s="438" t="s">
        <v>400</v>
      </c>
      <c r="S80" s="438" t="s">
        <v>410</v>
      </c>
      <c r="T80" s="438" t="s">
        <v>411</v>
      </c>
      <c r="U80" s="438" t="s">
        <v>412</v>
      </c>
      <c r="V80" s="438" t="s">
        <v>413</v>
      </c>
      <c r="W80" s="438" t="s">
        <v>414</v>
      </c>
      <c r="X80" s="438" t="s">
        <v>304</v>
      </c>
      <c r="Y80" s="438" t="s">
        <v>415</v>
      </c>
      <c r="Z80" s="438" t="s">
        <v>416</v>
      </c>
      <c r="AA80" s="439" t="s">
        <v>417</v>
      </c>
      <c r="AB80" s="290"/>
      <c r="AC80" s="290"/>
      <c r="AD80" s="290"/>
    </row>
    <row r="81" spans="1:30" ht="36" customHeight="1" thickBot="1">
      <c r="A81" s="338"/>
      <c r="B81" s="395"/>
      <c r="C81" s="440" t="s">
        <v>23</v>
      </c>
      <c r="D81" s="441">
        <v>4211.3831600000003</v>
      </c>
      <c r="E81" s="441">
        <v>4211.3831600000003</v>
      </c>
      <c r="F81" s="307"/>
      <c r="G81" s="307"/>
      <c r="H81" s="335"/>
      <c r="I81" s="309"/>
      <c r="J81" s="310"/>
      <c r="K81" s="310"/>
      <c r="L81" s="336"/>
      <c r="M81" s="387" t="s">
        <v>22</v>
      </c>
      <c r="N81" s="312">
        <v>99</v>
      </c>
      <c r="O81" s="313">
        <v>30</v>
      </c>
      <c r="P81" s="313"/>
      <c r="Q81" s="313"/>
      <c r="R81" s="313"/>
      <c r="S81" s="313"/>
      <c r="T81" s="313"/>
      <c r="U81" s="313"/>
      <c r="V81" s="313"/>
      <c r="W81" s="313"/>
      <c r="X81" s="313"/>
      <c r="Y81" s="313"/>
      <c r="Z81" s="313"/>
      <c r="AA81" s="313"/>
      <c r="AB81" s="290"/>
      <c r="AC81" s="290"/>
      <c r="AD81" s="290"/>
    </row>
    <row r="82" spans="1:30" ht="28.5" customHeight="1" thickBot="1">
      <c r="A82" s="332"/>
      <c r="B82" s="395"/>
      <c r="C82" s="440"/>
      <c r="D82" s="442"/>
      <c r="E82" s="442"/>
      <c r="F82" s="307"/>
      <c r="G82" s="307"/>
      <c r="H82" s="335"/>
      <c r="I82" s="309"/>
      <c r="J82" s="310"/>
      <c r="K82" s="310"/>
      <c r="L82" s="336"/>
      <c r="M82" s="390" t="s">
        <v>24</v>
      </c>
      <c r="N82" s="314">
        <v>99</v>
      </c>
      <c r="O82" s="315">
        <v>30</v>
      </c>
      <c r="P82" s="315"/>
      <c r="Q82" s="315"/>
      <c r="R82" s="315"/>
      <c r="S82" s="315"/>
      <c r="T82" s="315"/>
      <c r="U82" s="315"/>
      <c r="V82" s="315"/>
      <c r="W82" s="315"/>
      <c r="X82" s="315"/>
      <c r="Y82" s="315"/>
      <c r="Z82" s="315"/>
      <c r="AA82" s="315"/>
      <c r="AB82" s="290"/>
      <c r="AC82" s="290"/>
      <c r="AD82" s="290"/>
    </row>
    <row r="83" spans="1:30" ht="34.5" customHeight="1" thickBot="1">
      <c r="A83" s="324" t="s">
        <v>190</v>
      </c>
      <c r="B83" s="513" t="s">
        <v>418</v>
      </c>
      <c r="C83" s="440" t="s">
        <v>21</v>
      </c>
      <c r="D83" s="443">
        <v>835.87278000000003</v>
      </c>
      <c r="E83" s="443">
        <v>835.87278000000003</v>
      </c>
      <c r="F83" s="307">
        <f t="shared" si="4"/>
        <v>1</v>
      </c>
      <c r="G83" s="307">
        <f t="shared" si="5"/>
        <v>1</v>
      </c>
      <c r="H83" s="335">
        <f>J83+K83</f>
        <v>80</v>
      </c>
      <c r="I83" s="309">
        <f t="shared" si="6"/>
        <v>25</v>
      </c>
      <c r="J83" s="310">
        <f>IF((G83&gt;0)*(G83&lt;5),20,0)</f>
        <v>20</v>
      </c>
      <c r="K83" s="310">
        <f>IF(L83=1,60,30)</f>
        <v>60</v>
      </c>
      <c r="L83" s="336">
        <f>IF(SUM(M83:Y83)=SUM(M84:Y84),1,2)</f>
        <v>1</v>
      </c>
      <c r="M83" s="387" t="s">
        <v>22</v>
      </c>
      <c r="N83" s="314"/>
      <c r="O83" s="315"/>
      <c r="P83" s="315">
        <v>8.8000000000000007</v>
      </c>
      <c r="Q83" s="315">
        <v>59</v>
      </c>
      <c r="R83" s="315"/>
      <c r="S83" s="315"/>
      <c r="T83" s="315"/>
      <c r="U83" s="315"/>
      <c r="V83" s="315"/>
      <c r="W83" s="315"/>
      <c r="X83" s="315"/>
      <c r="Y83" s="315"/>
      <c r="Z83" s="315"/>
      <c r="AA83" s="315"/>
      <c r="AB83" s="290"/>
      <c r="AC83" s="290"/>
      <c r="AD83" s="290"/>
    </row>
    <row r="84" spans="1:30" ht="30" customHeight="1" thickBot="1">
      <c r="A84" s="332"/>
      <c r="B84" s="513"/>
      <c r="C84" s="440" t="s">
        <v>23</v>
      </c>
      <c r="D84" s="443">
        <v>835.87278000000003</v>
      </c>
      <c r="E84" s="443">
        <v>835.87278000000003</v>
      </c>
      <c r="F84" s="307"/>
      <c r="G84" s="307"/>
      <c r="H84" s="335"/>
      <c r="I84" s="309"/>
      <c r="J84" s="310"/>
      <c r="K84" s="310"/>
      <c r="L84" s="336"/>
      <c r="M84" s="390" t="s">
        <v>24</v>
      </c>
      <c r="N84" s="314"/>
      <c r="O84" s="315"/>
      <c r="P84" s="315">
        <v>8.8000000000000007</v>
      </c>
      <c r="Q84" s="315">
        <v>59</v>
      </c>
      <c r="R84" s="315"/>
      <c r="S84" s="315"/>
      <c r="T84" s="315"/>
      <c r="U84" s="315"/>
      <c r="V84" s="315"/>
      <c r="W84" s="315"/>
      <c r="X84" s="315"/>
      <c r="Y84" s="315"/>
      <c r="Z84" s="315"/>
      <c r="AA84" s="315"/>
      <c r="AB84" s="290"/>
      <c r="AC84" s="290"/>
      <c r="AD84" s="290"/>
    </row>
    <row r="85" spans="1:30" ht="34.5" customHeight="1" thickBot="1">
      <c r="A85" s="324" t="s">
        <v>194</v>
      </c>
      <c r="B85" s="513" t="s">
        <v>419</v>
      </c>
      <c r="C85" s="440" t="s">
        <v>21</v>
      </c>
      <c r="D85" s="443">
        <v>6821.7728399999996</v>
      </c>
      <c r="E85" s="443">
        <v>6821.7728399999996</v>
      </c>
      <c r="F85" s="307">
        <f t="shared" si="4"/>
        <v>1</v>
      </c>
      <c r="G85" s="307">
        <f t="shared" si="5"/>
        <v>1</v>
      </c>
      <c r="H85" s="424">
        <f>I85+J85+K85</f>
        <v>80</v>
      </c>
      <c r="I85" s="309">
        <f t="shared" si="6"/>
        <v>25</v>
      </c>
      <c r="J85" s="310">
        <f>IF([1]!Таблица256[[#This Row],[% экономии при выполнении программ/подпрограмм]],10,0)</f>
        <v>0</v>
      </c>
      <c r="K85" s="310">
        <f t="shared" ref="K85:K113" si="7">IF(L85=1,55,10)</f>
        <v>55</v>
      </c>
      <c r="L85" s="336">
        <f>IF(SUM(M85:Y85)=SUM(M86:Y86),1,IF(SUM(M85:Y85)&lt;SUM(M86:Y86),1,2))</f>
        <v>1</v>
      </c>
      <c r="M85" s="390" t="s">
        <v>22</v>
      </c>
      <c r="N85" s="314"/>
      <c r="O85" s="315"/>
      <c r="P85" s="315"/>
      <c r="Q85" s="315"/>
      <c r="R85" s="315">
        <v>8.6999999999999993</v>
      </c>
      <c r="S85" s="315">
        <v>59</v>
      </c>
      <c r="T85" s="315">
        <v>91.26</v>
      </c>
      <c r="U85" s="315">
        <v>1200</v>
      </c>
      <c r="V85" s="315"/>
      <c r="W85" s="315"/>
      <c r="X85" s="315"/>
      <c r="Y85" s="315"/>
      <c r="Z85" s="315"/>
      <c r="AA85" s="315"/>
      <c r="AB85" s="290"/>
      <c r="AC85" s="290"/>
      <c r="AD85" s="290"/>
    </row>
    <row r="86" spans="1:30" ht="27.75" customHeight="1" thickBot="1">
      <c r="A86" s="332"/>
      <c r="B86" s="513"/>
      <c r="C86" s="440" t="s">
        <v>23</v>
      </c>
      <c r="D86" s="443">
        <v>6821.7728399999996</v>
      </c>
      <c r="E86" s="443">
        <v>6821.7728399999996</v>
      </c>
      <c r="F86" s="307"/>
      <c r="G86" s="307"/>
      <c r="H86" s="335"/>
      <c r="I86" s="309"/>
      <c r="J86" s="310"/>
      <c r="K86" s="310"/>
      <c r="L86" s="336"/>
      <c r="M86" s="390" t="s">
        <v>24</v>
      </c>
      <c r="N86" s="314"/>
      <c r="O86" s="315"/>
      <c r="P86" s="315"/>
      <c r="Q86" s="315"/>
      <c r="R86" s="315">
        <v>8.8000000000000007</v>
      </c>
      <c r="S86" s="315">
        <v>59</v>
      </c>
      <c r="T86" s="315">
        <v>91.26</v>
      </c>
      <c r="U86" s="315">
        <v>1200</v>
      </c>
      <c r="V86" s="315"/>
      <c r="W86" s="315"/>
      <c r="X86" s="315"/>
      <c r="Y86" s="315"/>
      <c r="Z86" s="315"/>
      <c r="AA86" s="315"/>
      <c r="AB86" s="290"/>
      <c r="AC86" s="290"/>
      <c r="AD86" s="290"/>
    </row>
    <row r="87" spans="1:30" ht="33" customHeight="1" thickBot="1">
      <c r="A87" s="324" t="s">
        <v>196</v>
      </c>
      <c r="B87" s="513" t="s">
        <v>420</v>
      </c>
      <c r="C87" s="440" t="s">
        <v>21</v>
      </c>
      <c r="D87" s="443">
        <v>2714.4186100000002</v>
      </c>
      <c r="E87" s="443">
        <v>2714.4186100000002</v>
      </c>
      <c r="F87" s="307">
        <f t="shared" si="4"/>
        <v>1</v>
      </c>
      <c r="G87" s="307">
        <f t="shared" si="5"/>
        <v>1</v>
      </c>
      <c r="H87" s="335">
        <f>I87+J87+K87</f>
        <v>80</v>
      </c>
      <c r="I87" s="309">
        <f t="shared" si="6"/>
        <v>25</v>
      </c>
      <c r="J87" s="310">
        <f>IF([1]!Таблица256[[#This Row],[% экономии при выполнении программ/подпрограмм]],10,0)</f>
        <v>0</v>
      </c>
      <c r="K87" s="310">
        <f t="shared" si="7"/>
        <v>55</v>
      </c>
      <c r="L87" s="336">
        <f>IF(SUM(M87:Y87)=SUM(M88:Y88),1,2)</f>
        <v>1</v>
      </c>
      <c r="M87" s="387" t="s">
        <v>22</v>
      </c>
      <c r="N87" s="314"/>
      <c r="O87" s="315"/>
      <c r="P87" s="315"/>
      <c r="Q87" s="315"/>
      <c r="R87" s="315"/>
      <c r="S87" s="315"/>
      <c r="T87" s="315"/>
      <c r="U87" s="315"/>
      <c r="V87" s="315">
        <v>100</v>
      </c>
      <c r="W87" s="315">
        <v>100</v>
      </c>
      <c r="X87" s="315"/>
      <c r="Y87" s="315"/>
      <c r="Z87" s="315"/>
      <c r="AA87" s="315"/>
      <c r="AB87" s="290"/>
      <c r="AC87" s="290"/>
      <c r="AD87" s="290"/>
    </row>
    <row r="88" spans="1:30" ht="31.5" customHeight="1" thickBot="1">
      <c r="A88" s="332"/>
      <c r="B88" s="513"/>
      <c r="C88" s="440" t="s">
        <v>23</v>
      </c>
      <c r="D88" s="443">
        <v>2714.4186100000002</v>
      </c>
      <c r="E88" s="443">
        <v>2714.4186100000002</v>
      </c>
      <c r="F88" s="307"/>
      <c r="G88" s="307"/>
      <c r="H88" s="335"/>
      <c r="I88" s="309"/>
      <c r="J88" s="310"/>
      <c r="K88" s="310"/>
      <c r="L88" s="336"/>
      <c r="M88" s="390" t="s">
        <v>24</v>
      </c>
      <c r="N88" s="314"/>
      <c r="O88" s="315"/>
      <c r="P88" s="315"/>
      <c r="Q88" s="315"/>
      <c r="R88" s="315"/>
      <c r="S88" s="315"/>
      <c r="T88" s="315"/>
      <c r="U88" s="315"/>
      <c r="V88" s="315">
        <v>100</v>
      </c>
      <c r="W88" s="315">
        <v>100</v>
      </c>
      <c r="X88" s="315"/>
      <c r="Y88" s="315"/>
      <c r="Z88" s="315"/>
      <c r="AA88" s="315"/>
      <c r="AB88" s="290"/>
      <c r="AC88" s="290"/>
      <c r="AD88" s="290"/>
    </row>
    <row r="89" spans="1:30" ht="33" customHeight="1" thickBot="1">
      <c r="A89" s="324" t="s">
        <v>421</v>
      </c>
      <c r="B89" s="513" t="s">
        <v>422</v>
      </c>
      <c r="C89" s="440" t="s">
        <v>21</v>
      </c>
      <c r="D89" s="441">
        <v>108.10080000000001</v>
      </c>
      <c r="E89" s="441">
        <v>108.10080000000001</v>
      </c>
      <c r="F89" s="307">
        <f t="shared" si="4"/>
        <v>1</v>
      </c>
      <c r="G89" s="307">
        <f t="shared" si="5"/>
        <v>1</v>
      </c>
      <c r="H89" s="335">
        <f>I89+J89+K89</f>
        <v>80</v>
      </c>
      <c r="I89" s="309">
        <f t="shared" si="6"/>
        <v>25</v>
      </c>
      <c r="J89" s="310">
        <f>IF([1]!Таблица256[[#This Row],[% экономии при выполнении программ/подпрограмм]],10,0)</f>
        <v>0</v>
      </c>
      <c r="K89" s="310">
        <f t="shared" si="7"/>
        <v>55</v>
      </c>
      <c r="L89" s="336">
        <f>IF(SUM(M89:Y89)=SUM(M90:Y90),1,2)</f>
        <v>1</v>
      </c>
      <c r="M89" s="387" t="s">
        <v>22</v>
      </c>
      <c r="N89" s="314"/>
      <c r="O89" s="315"/>
      <c r="P89" s="315"/>
      <c r="Q89" s="315"/>
      <c r="R89" s="315"/>
      <c r="S89" s="315"/>
      <c r="T89" s="315"/>
      <c r="U89" s="315"/>
      <c r="V89" s="315"/>
      <c r="W89" s="315"/>
      <c r="X89" s="315">
        <v>7.24</v>
      </c>
      <c r="Y89" s="315">
        <v>0</v>
      </c>
      <c r="Z89" s="315">
        <v>0</v>
      </c>
      <c r="AA89" s="315"/>
      <c r="AB89" s="290"/>
      <c r="AC89" s="290"/>
      <c r="AD89" s="290"/>
    </row>
    <row r="90" spans="1:30" ht="26.25" customHeight="1" thickBot="1">
      <c r="A90" s="338"/>
      <c r="B90" s="513"/>
      <c r="C90" s="440" t="s">
        <v>23</v>
      </c>
      <c r="D90" s="441">
        <v>108.10080000000001</v>
      </c>
      <c r="E90" s="441">
        <v>108.10080000000001</v>
      </c>
      <c r="F90" s="307"/>
      <c r="G90" s="307"/>
      <c r="H90" s="335"/>
      <c r="I90" s="309"/>
      <c r="J90" s="310"/>
      <c r="K90" s="310"/>
      <c r="L90" s="336"/>
      <c r="M90" s="390" t="s">
        <v>24</v>
      </c>
      <c r="N90" s="314"/>
      <c r="O90" s="315"/>
      <c r="P90" s="315"/>
      <c r="Q90" s="315"/>
      <c r="R90" s="315"/>
      <c r="S90" s="315"/>
      <c r="T90" s="315"/>
      <c r="U90" s="315"/>
      <c r="V90" s="315"/>
      <c r="W90" s="315"/>
      <c r="X90" s="315">
        <v>7.24</v>
      </c>
      <c r="Y90" s="315">
        <v>0</v>
      </c>
      <c r="Z90" s="315">
        <v>0</v>
      </c>
      <c r="AA90" s="315"/>
      <c r="AB90" s="290"/>
      <c r="AC90" s="290"/>
      <c r="AD90" s="290"/>
    </row>
    <row r="91" spans="1:30" ht="30" customHeight="1" thickBot="1">
      <c r="A91" s="444"/>
      <c r="B91" s="540"/>
      <c r="C91" s="372"/>
      <c r="D91" s="411"/>
      <c r="E91" s="411"/>
      <c r="F91" s="342"/>
      <c r="G91" s="342"/>
      <c r="H91" s="343"/>
      <c r="I91" s="344"/>
      <c r="J91" s="345"/>
      <c r="K91" s="345"/>
      <c r="L91" s="346"/>
      <c r="M91" s="290"/>
      <c r="N91" s="290"/>
      <c r="O91" s="290"/>
      <c r="P91" s="290"/>
      <c r="Q91" s="290"/>
      <c r="R91" s="290"/>
      <c r="S91" s="290"/>
      <c r="T91" s="290"/>
      <c r="U91" s="290"/>
      <c r="V91" s="290"/>
      <c r="W91" s="290"/>
      <c r="X91" s="290"/>
      <c r="Y91" s="290"/>
      <c r="Z91" s="290"/>
      <c r="AA91" s="290"/>
      <c r="AB91" s="290"/>
      <c r="AC91" s="290"/>
      <c r="AD91" s="290"/>
    </row>
    <row r="92" spans="1:30" ht="54.95" customHeight="1" thickBot="1">
      <c r="A92" s="445">
        <v>9</v>
      </c>
      <c r="B92" s="537" t="s">
        <v>423</v>
      </c>
      <c r="C92" s="297" t="s">
        <v>21</v>
      </c>
      <c r="D92" s="349">
        <f>D94+D96</f>
        <v>322.2</v>
      </c>
      <c r="E92" s="349">
        <f>E94+E96</f>
        <v>322.2</v>
      </c>
      <c r="F92" s="299">
        <f t="shared" si="4"/>
        <v>1</v>
      </c>
      <c r="G92" s="299">
        <f t="shared" si="5"/>
        <v>1</v>
      </c>
      <c r="H92" s="412">
        <f>(H94*E94+H96*E96)/E92</f>
        <v>57.448789571694604</v>
      </c>
      <c r="I92" s="301"/>
      <c r="J92" s="302"/>
      <c r="K92" s="302"/>
      <c r="L92" s="303">
        <f>IF(SUM(O93:O94)=SUM(P93:P94),1,2)</f>
        <v>1</v>
      </c>
      <c r="M92" s="5" t="s">
        <v>161</v>
      </c>
      <c r="N92" s="446" t="s">
        <v>209</v>
      </c>
      <c r="O92" s="447" t="s">
        <v>22</v>
      </c>
      <c r="P92" s="447" t="s">
        <v>24</v>
      </c>
      <c r="Q92" s="290"/>
      <c r="R92" s="290"/>
      <c r="S92" s="290"/>
      <c r="T92" s="290"/>
      <c r="U92" s="290"/>
      <c r="V92" s="290"/>
      <c r="W92" s="290"/>
      <c r="X92" s="290"/>
      <c r="Y92" s="290"/>
      <c r="Z92" s="290"/>
      <c r="AA92" s="290"/>
      <c r="AB92" s="290"/>
      <c r="AC92" s="290"/>
      <c r="AD92" s="290"/>
    </row>
    <row r="93" spans="1:30" ht="54.95" customHeight="1" thickBot="1">
      <c r="A93" s="448"/>
      <c r="B93" s="539"/>
      <c r="C93" s="367" t="s">
        <v>23</v>
      </c>
      <c r="D93" s="353">
        <f>D95+D97</f>
        <v>322.2</v>
      </c>
      <c r="E93" s="353">
        <f>E95+E97</f>
        <v>322.2</v>
      </c>
      <c r="F93" s="319"/>
      <c r="G93" s="319"/>
      <c r="H93" s="368"/>
      <c r="I93" s="321"/>
      <c r="J93" s="322"/>
      <c r="K93" s="322"/>
      <c r="L93" s="323"/>
      <c r="M93" s="449" t="s">
        <v>424</v>
      </c>
      <c r="N93" s="312" t="s">
        <v>425</v>
      </c>
      <c r="O93" s="313">
        <v>0</v>
      </c>
      <c r="P93" s="313">
        <v>0</v>
      </c>
      <c r="Q93" s="290"/>
      <c r="R93" s="290"/>
      <c r="S93" s="290"/>
      <c r="T93" s="290"/>
      <c r="U93" s="290"/>
      <c r="V93" s="290"/>
      <c r="W93" s="290"/>
      <c r="X93" s="290"/>
      <c r="Y93" s="290"/>
      <c r="Z93" s="290"/>
      <c r="AA93" s="290"/>
      <c r="AB93" s="290"/>
      <c r="AC93" s="290"/>
      <c r="AD93" s="290"/>
    </row>
    <row r="94" spans="1:30" ht="68.25" customHeight="1" thickBot="1">
      <c r="A94" s="450" t="s">
        <v>214</v>
      </c>
      <c r="B94" s="541" t="s">
        <v>426</v>
      </c>
      <c r="C94" s="354" t="s">
        <v>21</v>
      </c>
      <c r="D94" s="451">
        <v>80</v>
      </c>
      <c r="E94" s="451">
        <v>80</v>
      </c>
      <c r="F94" s="327">
        <f t="shared" si="4"/>
        <v>1</v>
      </c>
      <c r="G94" s="327">
        <f t="shared" si="5"/>
        <v>1</v>
      </c>
      <c r="H94" s="452">
        <f>J94+K94</f>
        <v>80</v>
      </c>
      <c r="I94" s="329">
        <f t="shared" si="6"/>
        <v>25</v>
      </c>
      <c r="J94" s="330">
        <f>IF((G94&gt;0)*(G94&lt;5),20,0)</f>
        <v>20</v>
      </c>
      <c r="K94" s="330">
        <f>IF(L94=1,60,30)</f>
        <v>60</v>
      </c>
      <c r="L94" s="331">
        <f>IF(SUM(O93:O94)=SUM(P93:P94),1,2)</f>
        <v>1</v>
      </c>
      <c r="M94" s="453" t="s">
        <v>427</v>
      </c>
      <c r="N94" s="454" t="s">
        <v>428</v>
      </c>
      <c r="O94" s="455">
        <v>0</v>
      </c>
      <c r="P94" s="455">
        <v>0</v>
      </c>
      <c r="Q94" s="290"/>
      <c r="R94" s="290"/>
      <c r="S94" s="290"/>
      <c r="T94" s="290"/>
      <c r="U94" s="290"/>
      <c r="V94" s="290"/>
      <c r="W94" s="290"/>
      <c r="X94" s="290"/>
      <c r="Y94" s="290"/>
      <c r="Z94" s="290"/>
      <c r="AA94" s="290"/>
      <c r="AB94" s="290"/>
      <c r="AC94" s="290"/>
      <c r="AD94" s="290"/>
    </row>
    <row r="95" spans="1:30" ht="54.95" customHeight="1" thickBot="1">
      <c r="A95" s="444"/>
      <c r="B95" s="542"/>
      <c r="C95" s="356" t="s">
        <v>23</v>
      </c>
      <c r="D95" s="456">
        <v>80</v>
      </c>
      <c r="E95" s="456">
        <v>80</v>
      </c>
      <c r="F95" s="307"/>
      <c r="G95" s="307"/>
      <c r="H95" s="308"/>
      <c r="I95" s="309"/>
      <c r="J95" s="310"/>
      <c r="K95" s="310"/>
      <c r="L95" s="336"/>
      <c r="M95" s="5" t="s">
        <v>161</v>
      </c>
      <c r="N95" s="5" t="s">
        <v>209</v>
      </c>
      <c r="O95" s="447" t="s">
        <v>22</v>
      </c>
      <c r="P95" s="447" t="s">
        <v>24</v>
      </c>
      <c r="Q95" s="290"/>
      <c r="R95" s="290"/>
      <c r="S95" s="290"/>
      <c r="T95" s="290"/>
      <c r="U95" s="290"/>
      <c r="V95" s="290"/>
      <c r="W95" s="290"/>
      <c r="X95" s="290"/>
      <c r="Y95" s="290"/>
      <c r="Z95" s="290"/>
      <c r="AA95" s="290"/>
      <c r="AB95" s="290"/>
      <c r="AC95" s="290"/>
      <c r="AD95" s="290"/>
    </row>
    <row r="96" spans="1:30" ht="43.5" customHeight="1">
      <c r="A96" s="457" t="s">
        <v>216</v>
      </c>
      <c r="B96" s="542" t="s">
        <v>429</v>
      </c>
      <c r="C96" s="356" t="s">
        <v>21</v>
      </c>
      <c r="D96" s="421">
        <v>242.2</v>
      </c>
      <c r="E96" s="421">
        <v>242.2</v>
      </c>
      <c r="F96" s="307">
        <f t="shared" si="4"/>
        <v>1</v>
      </c>
      <c r="G96" s="307">
        <f t="shared" si="5"/>
        <v>1</v>
      </c>
      <c r="H96" s="308">
        <f>J96+K96</f>
        <v>50</v>
      </c>
      <c r="I96" s="309">
        <f t="shared" si="6"/>
        <v>25</v>
      </c>
      <c r="J96" s="310">
        <f>IF([1]!Таблица256[[#This Row],[% экономии при выполнении программ/подпрограмм]],20,0)</f>
        <v>20</v>
      </c>
      <c r="K96" s="310">
        <f>IF(L96=1,60,30)</f>
        <v>30</v>
      </c>
      <c r="L96" s="336">
        <f>IF(SUM(O96:O97)=SUM(P96:P97),1,2)</f>
        <v>2</v>
      </c>
      <c r="M96" s="458" t="s">
        <v>430</v>
      </c>
      <c r="N96" s="312" t="s">
        <v>425</v>
      </c>
      <c r="O96" s="414">
        <v>13</v>
      </c>
      <c r="P96" s="414">
        <v>20</v>
      </c>
      <c r="Q96" s="290"/>
      <c r="R96" s="290"/>
      <c r="S96" s="290"/>
      <c r="T96" s="290"/>
      <c r="U96" s="290"/>
      <c r="V96" s="290"/>
      <c r="W96" s="290"/>
      <c r="X96" s="290"/>
      <c r="Y96" s="290"/>
      <c r="Z96" s="290"/>
      <c r="AA96" s="290"/>
      <c r="AB96" s="290"/>
      <c r="AC96" s="290"/>
      <c r="AD96" s="290"/>
    </row>
    <row r="97" spans="1:37" ht="69.75" customHeight="1" thickBot="1">
      <c r="A97" s="459"/>
      <c r="B97" s="542"/>
      <c r="C97" s="356" t="s">
        <v>23</v>
      </c>
      <c r="D97" s="421">
        <v>242.2</v>
      </c>
      <c r="E97" s="421">
        <v>242.2</v>
      </c>
      <c r="F97" s="307"/>
      <c r="G97" s="307"/>
      <c r="H97" s="308"/>
      <c r="I97" s="309"/>
      <c r="J97" s="310"/>
      <c r="K97" s="310"/>
      <c r="L97" s="336"/>
      <c r="M97" s="460" t="s">
        <v>431</v>
      </c>
      <c r="N97" s="314" t="s">
        <v>428</v>
      </c>
      <c r="O97" s="417">
        <v>0</v>
      </c>
      <c r="P97" s="417">
        <v>1</v>
      </c>
      <c r="Q97" s="290"/>
      <c r="R97" s="290"/>
      <c r="S97" s="290"/>
      <c r="T97" s="290"/>
      <c r="U97" s="290"/>
      <c r="V97" s="290"/>
      <c r="W97" s="290"/>
      <c r="X97" s="290"/>
      <c r="Y97" s="290"/>
      <c r="Z97" s="290"/>
      <c r="AA97" s="290"/>
      <c r="AB97" s="290"/>
      <c r="AC97" s="290"/>
      <c r="AD97" s="290"/>
    </row>
    <row r="98" spans="1:37" ht="21" customHeight="1" thickBot="1">
      <c r="A98" s="459"/>
      <c r="B98" s="542"/>
      <c r="C98" s="356"/>
      <c r="D98" s="461"/>
      <c r="E98" s="461"/>
      <c r="F98" s="307"/>
      <c r="G98" s="307"/>
      <c r="H98" s="308"/>
      <c r="I98" s="309"/>
      <c r="J98" s="310"/>
      <c r="K98" s="310"/>
      <c r="L98" s="336"/>
      <c r="M98" s="290"/>
      <c r="N98" s="290"/>
      <c r="O98" s="290"/>
      <c r="P98" s="290"/>
      <c r="Q98" s="290"/>
      <c r="R98" s="290"/>
      <c r="S98" s="290"/>
      <c r="T98" s="290"/>
      <c r="U98" s="290"/>
      <c r="V98" s="290"/>
      <c r="W98" s="290"/>
      <c r="X98" s="290"/>
      <c r="Y98" s="290"/>
      <c r="Z98" s="290"/>
      <c r="AA98" s="290"/>
      <c r="AB98" s="290"/>
      <c r="AC98" s="290"/>
      <c r="AD98" s="290"/>
    </row>
    <row r="99" spans="1:37" ht="54.95" customHeight="1" thickBot="1">
      <c r="A99" s="462">
        <v>10</v>
      </c>
      <c r="B99" s="543" t="s">
        <v>432</v>
      </c>
      <c r="C99" s="463" t="s">
        <v>21</v>
      </c>
      <c r="D99" s="533" t="s">
        <v>333</v>
      </c>
      <c r="E99" s="534"/>
      <c r="F99" s="534"/>
      <c r="G99" s="534"/>
      <c r="H99" s="534"/>
      <c r="I99" s="534"/>
      <c r="J99" s="534"/>
      <c r="K99" s="535"/>
      <c r="L99" s="359">
        <f>IF(SUM(O100:O103)=SUM(P100:P103),1,2)</f>
        <v>2</v>
      </c>
      <c r="M99" s="5" t="s">
        <v>161</v>
      </c>
      <c r="N99" s="446" t="s">
        <v>209</v>
      </c>
      <c r="O99" s="447" t="s">
        <v>22</v>
      </c>
      <c r="P99" s="447" t="s">
        <v>24</v>
      </c>
      <c r="Q99" s="380"/>
      <c r="R99" s="380"/>
      <c r="S99" s="380"/>
      <c r="T99" s="380"/>
      <c r="U99" s="380"/>
      <c r="V99" s="380"/>
      <c r="W99" s="380"/>
      <c r="X99" s="380"/>
      <c r="Y99" s="380"/>
      <c r="Z99" s="380"/>
      <c r="AA99" s="380"/>
      <c r="AB99" s="380"/>
      <c r="AC99" s="380"/>
      <c r="AD99" s="380"/>
      <c r="AE99" s="109"/>
      <c r="AF99" s="109"/>
      <c r="AG99" s="109"/>
      <c r="AH99" s="109"/>
      <c r="AI99" s="109"/>
      <c r="AJ99" s="109"/>
      <c r="AK99" s="109"/>
    </row>
    <row r="100" spans="1:37" ht="80.25" customHeight="1" thickBot="1">
      <c r="A100" s="462"/>
      <c r="B100" s="543"/>
      <c r="C100" s="463" t="s">
        <v>23</v>
      </c>
      <c r="D100" s="463">
        <v>0</v>
      </c>
      <c r="E100" s="463">
        <v>0</v>
      </c>
      <c r="F100" s="361"/>
      <c r="G100" s="361"/>
      <c r="H100" s="464"/>
      <c r="I100" s="464"/>
      <c r="J100" s="359"/>
      <c r="K100" s="359"/>
      <c r="L100" s="359"/>
      <c r="M100" s="382" t="s">
        <v>433</v>
      </c>
      <c r="N100" s="383" t="s">
        <v>211</v>
      </c>
      <c r="O100" s="384">
        <v>0</v>
      </c>
      <c r="P100" s="384">
        <v>0</v>
      </c>
      <c r="Q100" s="380"/>
      <c r="R100" s="380"/>
      <c r="S100" s="380"/>
      <c r="T100" s="380"/>
      <c r="U100" s="380"/>
      <c r="V100" s="380"/>
      <c r="W100" s="380"/>
      <c r="X100" s="380"/>
      <c r="Y100" s="380"/>
      <c r="Z100" s="380"/>
      <c r="AA100" s="380"/>
      <c r="AB100" s="380"/>
      <c r="AC100" s="380"/>
      <c r="AD100" s="380"/>
      <c r="AE100" s="109"/>
      <c r="AF100" s="109"/>
      <c r="AG100" s="109"/>
      <c r="AH100" s="109"/>
      <c r="AI100" s="109"/>
      <c r="AJ100" s="109"/>
      <c r="AK100" s="109"/>
    </row>
    <row r="101" spans="1:37" ht="105.75" customHeight="1" thickBot="1">
      <c r="A101" s="465" t="s">
        <v>250</v>
      </c>
      <c r="B101" s="519" t="s">
        <v>434</v>
      </c>
      <c r="C101" s="358" t="s">
        <v>21</v>
      </c>
      <c r="D101" s="533" t="s">
        <v>333</v>
      </c>
      <c r="E101" s="534"/>
      <c r="F101" s="534"/>
      <c r="G101" s="534"/>
      <c r="H101" s="534"/>
      <c r="I101" s="534"/>
      <c r="J101" s="534"/>
      <c r="K101" s="535"/>
      <c r="L101" s="359">
        <f>IF(SUM(O93:O94)=SUM(P93:P94),1,2)</f>
        <v>1</v>
      </c>
      <c r="M101" s="466" t="s">
        <v>435</v>
      </c>
      <c r="N101" s="383" t="s">
        <v>211</v>
      </c>
      <c r="O101" s="384">
        <v>0</v>
      </c>
      <c r="P101" s="384">
        <v>0</v>
      </c>
      <c r="Q101" s="380"/>
      <c r="R101" s="380"/>
      <c r="S101" s="380"/>
      <c r="T101" s="380"/>
      <c r="U101" s="380"/>
      <c r="V101" s="380"/>
      <c r="W101" s="380"/>
      <c r="X101" s="380"/>
      <c r="Y101" s="380"/>
      <c r="Z101" s="380"/>
      <c r="AA101" s="380"/>
      <c r="AB101" s="380"/>
      <c r="AC101" s="380"/>
      <c r="AD101" s="380"/>
      <c r="AE101" s="109"/>
      <c r="AF101" s="109"/>
      <c r="AG101" s="109"/>
      <c r="AH101" s="109"/>
      <c r="AI101" s="109"/>
      <c r="AJ101" s="109"/>
      <c r="AK101" s="109"/>
    </row>
    <row r="102" spans="1:37" ht="54.95" customHeight="1" thickBot="1">
      <c r="A102" s="465"/>
      <c r="B102" s="519"/>
      <c r="C102" s="358" t="s">
        <v>23</v>
      </c>
      <c r="D102" s="463">
        <v>0</v>
      </c>
      <c r="E102" s="463">
        <v>0</v>
      </c>
      <c r="F102" s="307"/>
      <c r="G102" s="307"/>
      <c r="H102" s="467"/>
      <c r="I102" s="309"/>
      <c r="J102" s="310"/>
      <c r="K102" s="310"/>
      <c r="L102" s="336"/>
      <c r="M102" s="466" t="s">
        <v>436</v>
      </c>
      <c r="N102" s="468" t="s">
        <v>280</v>
      </c>
      <c r="O102" s="468">
        <v>0</v>
      </c>
      <c r="P102" s="468">
        <v>0</v>
      </c>
      <c r="Q102" s="380"/>
      <c r="R102" s="380"/>
      <c r="S102" s="380"/>
      <c r="T102" s="380"/>
      <c r="U102" s="380"/>
      <c r="V102" s="380"/>
      <c r="W102" s="380"/>
      <c r="X102" s="380"/>
      <c r="Y102" s="380"/>
      <c r="Z102" s="380"/>
      <c r="AA102" s="380"/>
      <c r="AB102" s="380"/>
      <c r="AC102" s="380"/>
      <c r="AD102" s="380"/>
      <c r="AE102" s="109"/>
      <c r="AF102" s="109"/>
      <c r="AG102" s="109"/>
      <c r="AH102" s="109"/>
      <c r="AI102" s="109"/>
      <c r="AJ102" s="109"/>
      <c r="AK102" s="109"/>
    </row>
    <row r="103" spans="1:37" ht="71.25" customHeight="1" thickBot="1">
      <c r="A103" s="465" t="s">
        <v>437</v>
      </c>
      <c r="B103" s="519" t="s">
        <v>285</v>
      </c>
      <c r="C103" s="358" t="s">
        <v>21</v>
      </c>
      <c r="D103" s="533" t="s">
        <v>333</v>
      </c>
      <c r="E103" s="534"/>
      <c r="F103" s="534"/>
      <c r="G103" s="534"/>
      <c r="H103" s="534"/>
      <c r="I103" s="534"/>
      <c r="J103" s="534"/>
      <c r="K103" s="535"/>
      <c r="L103" s="359">
        <f>IF(SUM(O93:O94)=SUM(P93:P94),1,2)</f>
        <v>1</v>
      </c>
      <c r="M103" s="382" t="s">
        <v>438</v>
      </c>
      <c r="N103" s="383" t="s">
        <v>211</v>
      </c>
      <c r="O103" s="384">
        <v>98</v>
      </c>
      <c r="P103" s="384">
        <v>97</v>
      </c>
      <c r="Q103" s="380"/>
      <c r="R103" s="380"/>
      <c r="S103" s="380"/>
      <c r="T103" s="380"/>
      <c r="U103" s="380"/>
      <c r="V103" s="380"/>
      <c r="W103" s="380"/>
      <c r="X103" s="380"/>
      <c r="Y103" s="380"/>
      <c r="Z103" s="380"/>
      <c r="AA103" s="380"/>
      <c r="AB103" s="380"/>
      <c r="AC103" s="380"/>
      <c r="AD103" s="380"/>
      <c r="AE103" s="109"/>
      <c r="AF103" s="109"/>
      <c r="AG103" s="109"/>
      <c r="AH103" s="109"/>
      <c r="AI103" s="109"/>
      <c r="AJ103" s="109"/>
      <c r="AK103" s="109"/>
    </row>
    <row r="104" spans="1:37" ht="54.95" customHeight="1" thickBot="1">
      <c r="A104" s="465"/>
      <c r="B104" s="536"/>
      <c r="C104" s="362" t="s">
        <v>23</v>
      </c>
      <c r="D104" s="469">
        <v>0</v>
      </c>
      <c r="E104" s="469">
        <v>0</v>
      </c>
      <c r="F104" s="342"/>
      <c r="G104" s="342"/>
      <c r="H104" s="470"/>
      <c r="I104" s="344"/>
      <c r="J104" s="345"/>
      <c r="K104" s="345"/>
      <c r="L104" s="346"/>
      <c r="M104" s="380"/>
      <c r="N104" s="380"/>
      <c r="O104" s="380"/>
      <c r="P104" s="380"/>
      <c r="Q104" s="380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0"/>
      <c r="AB104" s="380"/>
      <c r="AC104" s="380"/>
      <c r="AD104" s="380"/>
      <c r="AE104" s="109"/>
      <c r="AF104" s="109"/>
      <c r="AG104" s="109"/>
      <c r="AH104" s="109"/>
      <c r="AI104" s="109"/>
      <c r="AJ104" s="109"/>
      <c r="AK104" s="109"/>
    </row>
    <row r="105" spans="1:37" ht="81" customHeight="1" thickBot="1">
      <c r="A105" s="462">
        <v>11</v>
      </c>
      <c r="B105" s="537" t="s">
        <v>439</v>
      </c>
      <c r="C105" s="297" t="s">
        <v>21</v>
      </c>
      <c r="D105" s="471">
        <f>D113+D117</f>
        <v>31377.06969</v>
      </c>
      <c r="E105" s="471">
        <f>E113+E117</f>
        <v>3372.0696900000003</v>
      </c>
      <c r="F105" s="299">
        <f t="shared" si="4"/>
        <v>0.10746923544217045</v>
      </c>
      <c r="G105" s="299">
        <f t="shared" si="5"/>
        <v>0.10746923544217045</v>
      </c>
      <c r="H105" s="412">
        <f>(H113*E113+H117*E117)/E105</f>
        <v>66.335008663477524</v>
      </c>
      <c r="I105" s="301"/>
      <c r="J105" s="302"/>
      <c r="K105" s="302"/>
      <c r="L105" s="303">
        <f>IF(SUM(N106:T106)=SUM(N107:T107),1,2)</f>
        <v>2</v>
      </c>
      <c r="M105" s="366" t="s">
        <v>14</v>
      </c>
      <c r="N105" s="260" t="s">
        <v>440</v>
      </c>
      <c r="O105" s="87" t="s">
        <v>441</v>
      </c>
      <c r="P105" s="87" t="s">
        <v>442</v>
      </c>
      <c r="Q105" s="87" t="s">
        <v>443</v>
      </c>
      <c r="R105" s="87" t="s">
        <v>444</v>
      </c>
      <c r="S105" s="87" t="s">
        <v>445</v>
      </c>
      <c r="T105" s="88" t="s">
        <v>446</v>
      </c>
      <c r="U105" s="290"/>
      <c r="V105" s="290"/>
      <c r="W105" s="290"/>
      <c r="X105" s="290"/>
      <c r="Y105" s="290"/>
      <c r="Z105" s="290"/>
      <c r="AA105" s="290"/>
      <c r="AB105" s="290"/>
      <c r="AC105" s="290"/>
      <c r="AD105" s="290"/>
    </row>
    <row r="106" spans="1:37" ht="33" customHeight="1" thickBot="1">
      <c r="A106" s="462"/>
      <c r="B106" s="538"/>
      <c r="C106" s="305" t="s">
        <v>23</v>
      </c>
      <c r="D106" s="472">
        <f>D110+D112+D114+D118</f>
        <v>68.853489999999994</v>
      </c>
      <c r="E106" s="472">
        <f>E110+E112+E114+E126</f>
        <v>68.853489999999994</v>
      </c>
      <c r="F106" s="307"/>
      <c r="G106" s="307"/>
      <c r="H106" s="308"/>
      <c r="I106" s="309"/>
      <c r="J106" s="310"/>
      <c r="K106" s="310"/>
      <c r="L106" s="311"/>
      <c r="M106" s="387" t="s">
        <v>22</v>
      </c>
      <c r="N106" s="473">
        <v>10</v>
      </c>
      <c r="O106" s="414">
        <v>10</v>
      </c>
      <c r="P106" s="414">
        <v>6</v>
      </c>
      <c r="Q106" s="414">
        <v>2.33</v>
      </c>
      <c r="R106" s="414">
        <v>10.8</v>
      </c>
      <c r="S106" s="313">
        <v>1</v>
      </c>
      <c r="T106" s="313">
        <v>27.5</v>
      </c>
      <c r="U106" s="290"/>
      <c r="V106" s="290"/>
      <c r="W106" s="290"/>
      <c r="X106" s="290"/>
      <c r="Y106" s="290"/>
      <c r="Z106" s="290"/>
      <c r="AA106" s="290"/>
      <c r="AB106" s="290"/>
      <c r="AC106" s="290"/>
      <c r="AD106" s="290"/>
    </row>
    <row r="107" spans="1:37" ht="33" customHeight="1" thickBot="1">
      <c r="A107" s="462"/>
      <c r="B107" s="538"/>
      <c r="C107" s="305" t="s">
        <v>25</v>
      </c>
      <c r="D107" s="472">
        <f>D115</f>
        <v>91.575130000000001</v>
      </c>
      <c r="E107" s="472">
        <f>E115+E127+E118</f>
        <v>91.575130000000001</v>
      </c>
      <c r="F107" s="307"/>
      <c r="G107" s="307"/>
      <c r="H107" s="308"/>
      <c r="I107" s="309"/>
      <c r="J107" s="310"/>
      <c r="K107" s="310"/>
      <c r="L107" s="311"/>
      <c r="M107" s="390" t="s">
        <v>24</v>
      </c>
      <c r="N107" s="416">
        <v>0</v>
      </c>
      <c r="O107" s="416">
        <v>0</v>
      </c>
      <c r="P107" s="416">
        <v>0</v>
      </c>
      <c r="Q107" s="416">
        <v>0</v>
      </c>
      <c r="R107" s="416">
        <v>0</v>
      </c>
      <c r="S107" s="313">
        <v>1</v>
      </c>
      <c r="T107" s="313">
        <v>27.5</v>
      </c>
      <c r="U107" s="290"/>
      <c r="V107" s="290"/>
      <c r="W107" s="290"/>
      <c r="X107" s="290"/>
      <c r="Y107" s="290"/>
      <c r="Z107" s="290"/>
      <c r="AA107" s="290"/>
      <c r="AB107" s="290"/>
      <c r="AC107" s="290"/>
      <c r="AD107" s="290"/>
    </row>
    <row r="108" spans="1:37" ht="66" customHeight="1" thickBot="1">
      <c r="A108" s="462"/>
      <c r="B108" s="539"/>
      <c r="C108" s="367" t="s">
        <v>50</v>
      </c>
      <c r="D108" s="474">
        <f>D116+D120</f>
        <v>31216.641070000001</v>
      </c>
      <c r="E108" s="474">
        <f>E116+E120</f>
        <v>3211.6410699999997</v>
      </c>
      <c r="F108" s="319"/>
      <c r="G108" s="319"/>
      <c r="H108" s="368"/>
      <c r="I108" s="321"/>
      <c r="J108" s="322"/>
      <c r="K108" s="322"/>
      <c r="L108" s="323"/>
      <c r="M108" s="5" t="s">
        <v>14</v>
      </c>
      <c r="N108" s="86" t="s">
        <v>440</v>
      </c>
      <c r="O108" s="87" t="s">
        <v>441</v>
      </c>
      <c r="P108" s="87" t="s">
        <v>442</v>
      </c>
      <c r="Q108" s="87" t="s">
        <v>443</v>
      </c>
      <c r="R108" s="87" t="s">
        <v>444</v>
      </c>
      <c r="S108" s="87" t="s">
        <v>445</v>
      </c>
      <c r="T108" s="88" t="s">
        <v>446</v>
      </c>
      <c r="U108" s="290"/>
      <c r="V108" s="290"/>
      <c r="W108" s="290"/>
      <c r="X108" s="290"/>
      <c r="Y108" s="290"/>
      <c r="Z108" s="290"/>
      <c r="AA108" s="290"/>
      <c r="AB108" s="290"/>
      <c r="AC108" s="290"/>
      <c r="AD108" s="290"/>
    </row>
    <row r="109" spans="1:37" ht="36.75" customHeight="1" thickBot="1">
      <c r="A109" s="465" t="s">
        <v>263</v>
      </c>
      <c r="B109" s="518" t="s">
        <v>447</v>
      </c>
      <c r="C109" s="381" t="s">
        <v>21</v>
      </c>
      <c r="D109" s="520" t="s">
        <v>333</v>
      </c>
      <c r="E109" s="521"/>
      <c r="F109" s="521"/>
      <c r="G109" s="521"/>
      <c r="H109" s="521"/>
      <c r="I109" s="521"/>
      <c r="J109" s="521"/>
      <c r="K109" s="522"/>
      <c r="L109" s="475">
        <f>IF(SUM(M109:Y109)=SUM(M110:Y110),1,2)</f>
        <v>2</v>
      </c>
      <c r="M109" s="387" t="s">
        <v>22</v>
      </c>
      <c r="N109" s="312">
        <v>10</v>
      </c>
      <c r="O109" s="313">
        <v>10</v>
      </c>
      <c r="P109" s="391"/>
      <c r="Q109" s="391"/>
      <c r="R109" s="391"/>
      <c r="S109" s="391"/>
      <c r="T109" s="391"/>
      <c r="U109" s="290"/>
      <c r="V109" s="290"/>
      <c r="W109" s="290"/>
      <c r="X109" s="290"/>
      <c r="Y109" s="290"/>
      <c r="Z109" s="290"/>
      <c r="AA109" s="290"/>
      <c r="AB109" s="290"/>
      <c r="AC109" s="290"/>
      <c r="AD109" s="290"/>
    </row>
    <row r="110" spans="1:37" ht="31.5" customHeight="1" thickBot="1">
      <c r="A110" s="465"/>
      <c r="B110" s="519"/>
      <c r="C110" s="358" t="s">
        <v>23</v>
      </c>
      <c r="D110" s="476"/>
      <c r="E110" s="477"/>
      <c r="F110" s="307"/>
      <c r="G110" s="307"/>
      <c r="H110" s="467"/>
      <c r="I110" s="309"/>
      <c r="J110" s="310"/>
      <c r="K110" s="310"/>
      <c r="L110" s="336"/>
      <c r="M110" s="390" t="s">
        <v>24</v>
      </c>
      <c r="N110" s="314">
        <v>0</v>
      </c>
      <c r="O110" s="314">
        <v>0</v>
      </c>
      <c r="P110" s="391"/>
      <c r="Q110" s="391"/>
      <c r="R110" s="391"/>
      <c r="S110" s="391"/>
      <c r="T110" s="391"/>
      <c r="U110" s="290"/>
      <c r="V110" s="290"/>
      <c r="W110" s="290"/>
      <c r="X110" s="290"/>
      <c r="Y110" s="290"/>
      <c r="Z110" s="290"/>
      <c r="AA110" s="290"/>
      <c r="AB110" s="290"/>
      <c r="AC110" s="290"/>
      <c r="AD110" s="290"/>
    </row>
    <row r="111" spans="1:37" ht="37.5" customHeight="1" thickBot="1">
      <c r="A111" s="465" t="s">
        <v>265</v>
      </c>
      <c r="B111" s="358" t="s">
        <v>448</v>
      </c>
      <c r="C111" s="358" t="s">
        <v>21</v>
      </c>
      <c r="D111" s="523" t="s">
        <v>333</v>
      </c>
      <c r="E111" s="524"/>
      <c r="F111" s="524"/>
      <c r="G111" s="524"/>
      <c r="H111" s="524"/>
      <c r="I111" s="524"/>
      <c r="J111" s="524"/>
      <c r="K111" s="525"/>
      <c r="L111" s="359">
        <f>IF(SUM(M111:Y111)=SUM(M112:Y112),1,2)</f>
        <v>2</v>
      </c>
      <c r="M111" s="387" t="s">
        <v>22</v>
      </c>
      <c r="N111" s="394"/>
      <c r="O111" s="391"/>
      <c r="P111" s="313">
        <v>6</v>
      </c>
      <c r="Q111" s="313">
        <v>2.33</v>
      </c>
      <c r="R111" s="313">
        <v>10.8</v>
      </c>
      <c r="S111" s="391"/>
      <c r="T111" s="391"/>
      <c r="U111" s="290"/>
      <c r="V111" s="290"/>
      <c r="W111" s="290"/>
      <c r="X111" s="290"/>
      <c r="Y111" s="290"/>
      <c r="Z111" s="290"/>
      <c r="AA111" s="290"/>
      <c r="AB111" s="290"/>
      <c r="AC111" s="290"/>
      <c r="AD111" s="290"/>
    </row>
    <row r="112" spans="1:37" ht="28.5" customHeight="1" thickBot="1">
      <c r="A112" s="465"/>
      <c r="B112" s="358"/>
      <c r="C112" s="358" t="s">
        <v>23</v>
      </c>
      <c r="D112" s="476"/>
      <c r="E112" s="477"/>
      <c r="F112" s="307"/>
      <c r="G112" s="307"/>
      <c r="H112" s="467"/>
      <c r="I112" s="309"/>
      <c r="J112" s="310"/>
      <c r="K112" s="310"/>
      <c r="L112" s="336"/>
      <c r="M112" s="390" t="s">
        <v>24</v>
      </c>
      <c r="N112" s="394"/>
      <c r="O112" s="391"/>
      <c r="P112" s="314">
        <v>0</v>
      </c>
      <c r="Q112" s="314">
        <v>0</v>
      </c>
      <c r="R112" s="314">
        <v>0</v>
      </c>
      <c r="S112" s="391"/>
      <c r="T112" s="391"/>
      <c r="U112" s="290"/>
      <c r="V112" s="290"/>
      <c r="W112" s="290"/>
      <c r="X112" s="290"/>
      <c r="Y112" s="290"/>
      <c r="Z112" s="290"/>
      <c r="AA112" s="290"/>
      <c r="AB112" s="290"/>
      <c r="AC112" s="290"/>
      <c r="AD112" s="290"/>
    </row>
    <row r="113" spans="1:37" ht="34.5" customHeight="1" thickBot="1">
      <c r="A113" s="465" t="s">
        <v>268</v>
      </c>
      <c r="B113" s="526" t="s">
        <v>449</v>
      </c>
      <c r="C113" s="396" t="s">
        <v>21</v>
      </c>
      <c r="D113" s="478">
        <v>1377.06969</v>
      </c>
      <c r="E113" s="478">
        <v>1377.06969</v>
      </c>
      <c r="F113" s="307">
        <f t="shared" si="4"/>
        <v>1</v>
      </c>
      <c r="G113" s="307">
        <f t="shared" si="5"/>
        <v>1</v>
      </c>
      <c r="H113" s="467">
        <f>I113+J113+K113</f>
        <v>90</v>
      </c>
      <c r="I113" s="309">
        <f t="shared" si="6"/>
        <v>25</v>
      </c>
      <c r="J113" s="310">
        <f>IF((G113&gt;0)*(G113&lt;5),10,0)</f>
        <v>10</v>
      </c>
      <c r="K113" s="310">
        <f t="shared" si="7"/>
        <v>55</v>
      </c>
      <c r="L113" s="336">
        <f>IF(SUM(S113:T113)=SUM(S114:T114),1,2)</f>
        <v>1</v>
      </c>
      <c r="M113" s="387" t="s">
        <v>22</v>
      </c>
      <c r="N113" s="394"/>
      <c r="O113" s="391"/>
      <c r="P113" s="391"/>
      <c r="Q113" s="391"/>
      <c r="R113" s="391"/>
      <c r="S113" s="313">
        <v>1</v>
      </c>
      <c r="T113" s="313">
        <v>27.5</v>
      </c>
      <c r="U113" s="290"/>
      <c r="V113" s="290"/>
      <c r="W113" s="290"/>
      <c r="X113" s="290"/>
      <c r="Y113" s="290"/>
      <c r="Z113" s="290"/>
      <c r="AA113" s="290"/>
      <c r="AB113" s="290"/>
      <c r="AC113" s="290"/>
      <c r="AD113" s="290"/>
    </row>
    <row r="114" spans="1:37" ht="26.25" customHeight="1" thickBot="1">
      <c r="A114" s="465"/>
      <c r="B114" s="526"/>
      <c r="C114" s="396" t="s">
        <v>23</v>
      </c>
      <c r="D114" s="478">
        <v>68.853489999999994</v>
      </c>
      <c r="E114" s="478">
        <v>68.853489999999994</v>
      </c>
      <c r="F114" s="307"/>
      <c r="G114" s="307"/>
      <c r="H114" s="467"/>
      <c r="I114" s="309"/>
      <c r="J114" s="310"/>
      <c r="K114" s="310"/>
      <c r="L114" s="336"/>
      <c r="M114" s="479" t="s">
        <v>24</v>
      </c>
      <c r="N114" s="480"/>
      <c r="O114" s="481"/>
      <c r="P114" s="391"/>
      <c r="Q114" s="391"/>
      <c r="R114" s="391"/>
      <c r="S114" s="313">
        <v>1</v>
      </c>
      <c r="T114" s="313">
        <v>27.5</v>
      </c>
      <c r="U114" s="290"/>
      <c r="V114" s="290"/>
      <c r="W114" s="290"/>
      <c r="X114" s="290"/>
      <c r="Y114" s="290"/>
      <c r="Z114" s="290"/>
      <c r="AA114" s="290"/>
      <c r="AB114" s="290"/>
      <c r="AC114" s="290"/>
      <c r="AD114" s="290"/>
    </row>
    <row r="115" spans="1:37" ht="24.75" customHeight="1" thickBot="1">
      <c r="A115" s="465"/>
      <c r="B115" s="526"/>
      <c r="C115" s="396" t="s">
        <v>25</v>
      </c>
      <c r="D115" s="478">
        <v>91.575130000000001</v>
      </c>
      <c r="E115" s="478">
        <v>91.575130000000001</v>
      </c>
      <c r="F115" s="307"/>
      <c r="G115" s="307"/>
      <c r="H115" s="467"/>
      <c r="I115" s="309"/>
      <c r="J115" s="310"/>
      <c r="K115" s="310"/>
      <c r="L115" s="482"/>
      <c r="M115" s="527" t="s">
        <v>14</v>
      </c>
      <c r="N115" s="529" t="s">
        <v>417</v>
      </c>
      <c r="O115" s="530"/>
      <c r="P115" s="290"/>
      <c r="Q115" s="290"/>
      <c r="R115" s="290"/>
      <c r="S115" s="290"/>
      <c r="T115" s="290"/>
      <c r="U115" s="290"/>
      <c r="V115" s="290"/>
      <c r="W115" s="290"/>
      <c r="X115" s="290"/>
      <c r="Y115" s="290"/>
      <c r="Z115" s="290"/>
      <c r="AA115" s="290"/>
      <c r="AB115" s="290"/>
      <c r="AC115" s="290"/>
      <c r="AD115" s="290"/>
    </row>
    <row r="116" spans="1:37" ht="42.75" customHeight="1" thickBot="1">
      <c r="A116" s="483"/>
      <c r="B116" s="526"/>
      <c r="C116" s="396" t="s">
        <v>50</v>
      </c>
      <c r="D116" s="484">
        <v>1216.6410699999999</v>
      </c>
      <c r="E116" s="484">
        <v>1216.6410699999999</v>
      </c>
      <c r="F116" s="307"/>
      <c r="G116" s="307"/>
      <c r="H116" s="467"/>
      <c r="I116" s="309"/>
      <c r="J116" s="310"/>
      <c r="K116" s="310"/>
      <c r="L116" s="482"/>
      <c r="M116" s="528"/>
      <c r="N116" s="531"/>
      <c r="O116" s="532"/>
      <c r="P116" s="290"/>
      <c r="Q116" s="290"/>
      <c r="R116" s="290"/>
      <c r="S116" s="290"/>
      <c r="T116" s="290"/>
      <c r="U116" s="290"/>
      <c r="V116" s="290"/>
      <c r="W116" s="290"/>
      <c r="X116" s="290"/>
      <c r="Y116" s="290"/>
      <c r="Z116" s="290"/>
      <c r="AA116" s="290"/>
      <c r="AB116" s="290"/>
      <c r="AC116" s="290"/>
      <c r="AD116" s="290"/>
    </row>
    <row r="117" spans="1:37" ht="31.5" customHeight="1" thickBot="1">
      <c r="A117" s="324" t="s">
        <v>450</v>
      </c>
      <c r="B117" s="513" t="s">
        <v>451</v>
      </c>
      <c r="C117" s="485" t="s">
        <v>21</v>
      </c>
      <c r="D117" s="486">
        <v>30000</v>
      </c>
      <c r="E117" s="486">
        <v>1995</v>
      </c>
      <c r="F117" s="307">
        <f t="shared" ref="F117" si="8">E117/D117*100%</f>
        <v>6.6500000000000004E-2</v>
      </c>
      <c r="G117" s="307">
        <f t="shared" ref="G117" si="9">E117/D117*100%</f>
        <v>6.6500000000000004E-2</v>
      </c>
      <c r="H117" s="487">
        <f>J117+K117</f>
        <v>50</v>
      </c>
      <c r="I117" s="309">
        <f>IF(G117=1,25,IF((G117&gt;0.9)*(G117&lt;1),0,IF((G117&gt;0.7)*(G117&lt;0.9),-10,IF((G117&gt;0.5)*(G117&lt;0.7),-25,-50))))</f>
        <v>-50</v>
      </c>
      <c r="J117" s="310">
        <f>IF((G117&gt;0.05)*(G117&lt;0.1),20,IF((G117&gt;0)*(G117&lt;0.05),10,0))</f>
        <v>20</v>
      </c>
      <c r="K117" s="310">
        <f>IF(L117=1,60,30)</f>
        <v>30</v>
      </c>
      <c r="L117" s="482">
        <f>IF(N117=N118,1,2)</f>
        <v>2</v>
      </c>
      <c r="M117" s="488" t="s">
        <v>22</v>
      </c>
      <c r="N117" s="514">
        <v>1</v>
      </c>
      <c r="O117" s="515"/>
      <c r="P117" s="489"/>
      <c r="Q117" s="489"/>
      <c r="R117" s="490"/>
      <c r="S117" s="490"/>
      <c r="T117" s="490"/>
      <c r="U117" s="490"/>
      <c r="V117" s="490"/>
      <c r="W117" s="490"/>
      <c r="X117" s="490"/>
      <c r="Y117" s="490"/>
      <c r="Z117" s="490"/>
      <c r="AA117" s="490"/>
      <c r="AB117" s="290"/>
      <c r="AC117" s="290"/>
      <c r="AD117" s="290"/>
    </row>
    <row r="118" spans="1:37" ht="31.5" customHeight="1" thickBot="1">
      <c r="A118" s="338"/>
      <c r="B118" s="513"/>
      <c r="C118" s="485" t="s">
        <v>23</v>
      </c>
      <c r="D118" s="486"/>
      <c r="E118" s="486"/>
      <c r="F118" s="307"/>
      <c r="G118" s="307"/>
      <c r="H118" s="424"/>
      <c r="I118" s="309"/>
      <c r="J118" s="310"/>
      <c r="K118" s="310"/>
      <c r="L118" s="482"/>
      <c r="M118" s="447" t="s">
        <v>24</v>
      </c>
      <c r="N118" s="516">
        <v>0</v>
      </c>
      <c r="O118" s="517"/>
      <c r="P118" s="489"/>
      <c r="Q118" s="489"/>
      <c r="R118" s="490"/>
      <c r="S118" s="490"/>
      <c r="T118" s="490"/>
      <c r="U118" s="490"/>
      <c r="V118" s="490"/>
      <c r="W118" s="490"/>
      <c r="X118" s="490"/>
      <c r="Y118" s="490"/>
      <c r="Z118" s="490"/>
      <c r="AA118" s="490"/>
      <c r="AB118" s="290"/>
      <c r="AC118" s="290"/>
      <c r="AD118" s="290"/>
    </row>
    <row r="119" spans="1:37" ht="31.5" customHeight="1">
      <c r="A119" s="338"/>
      <c r="B119" s="513"/>
      <c r="C119" s="485" t="s">
        <v>25</v>
      </c>
      <c r="D119" s="486">
        <v>0</v>
      </c>
      <c r="E119" s="486">
        <v>0</v>
      </c>
      <c r="F119" s="307"/>
      <c r="G119" s="307"/>
      <c r="H119" s="424"/>
      <c r="I119" s="309"/>
      <c r="J119" s="310"/>
      <c r="K119" s="310"/>
      <c r="L119" s="482"/>
      <c r="M119" s="491"/>
      <c r="N119" s="492"/>
      <c r="O119" s="492"/>
      <c r="P119" s="490"/>
      <c r="Q119" s="490"/>
      <c r="R119" s="490"/>
      <c r="S119" s="490"/>
      <c r="T119" s="490"/>
      <c r="U119" s="490"/>
      <c r="V119" s="490"/>
      <c r="W119" s="490"/>
      <c r="X119" s="490"/>
      <c r="Y119" s="490"/>
      <c r="Z119" s="490"/>
      <c r="AA119" s="490"/>
      <c r="AB119" s="290"/>
      <c r="AC119" s="290"/>
      <c r="AD119" s="290"/>
    </row>
    <row r="120" spans="1:37" ht="31.5" customHeight="1" thickBot="1">
      <c r="A120" s="332"/>
      <c r="B120" s="513"/>
      <c r="C120" s="485" t="s">
        <v>50</v>
      </c>
      <c r="D120" s="486">
        <v>30000</v>
      </c>
      <c r="E120" s="486">
        <v>1995</v>
      </c>
      <c r="F120" s="307"/>
      <c r="G120" s="307"/>
      <c r="H120" s="424"/>
      <c r="I120" s="309"/>
      <c r="J120" s="310"/>
      <c r="K120" s="310"/>
      <c r="L120" s="482"/>
      <c r="M120" s="491"/>
      <c r="N120" s="492"/>
      <c r="O120" s="492"/>
      <c r="P120" s="490"/>
      <c r="Q120" s="490"/>
      <c r="R120" s="490"/>
      <c r="S120" s="490"/>
      <c r="T120" s="490"/>
      <c r="U120" s="490"/>
      <c r="V120" s="490"/>
      <c r="W120" s="490"/>
      <c r="X120" s="490"/>
      <c r="Y120" s="490"/>
      <c r="Z120" s="490"/>
      <c r="AA120" s="490"/>
      <c r="AB120" s="290"/>
      <c r="AC120" s="290"/>
      <c r="AD120" s="290"/>
    </row>
    <row r="121" spans="1:37" ht="50.25" customHeight="1" thickBot="1">
      <c r="A121" s="483"/>
      <c r="B121" s="397"/>
      <c r="C121" s="397"/>
      <c r="D121" s="493"/>
      <c r="E121" s="493"/>
      <c r="F121" s="342"/>
      <c r="G121" s="342"/>
      <c r="H121" s="470"/>
      <c r="I121" s="344"/>
      <c r="J121" s="345"/>
      <c r="K121" s="345"/>
      <c r="L121" s="346"/>
      <c r="M121" s="290"/>
      <c r="N121" s="290"/>
      <c r="O121" s="290"/>
      <c r="P121" s="290"/>
      <c r="Q121" s="290"/>
      <c r="R121" s="290"/>
      <c r="S121" s="290"/>
      <c r="T121" s="290"/>
      <c r="U121" s="290"/>
      <c r="V121" s="290"/>
      <c r="W121" s="290"/>
      <c r="X121" s="290"/>
      <c r="Y121" s="290"/>
      <c r="Z121" s="290"/>
      <c r="AA121" s="290"/>
      <c r="AB121" s="290"/>
      <c r="AC121" s="290"/>
      <c r="AD121" s="290"/>
    </row>
    <row r="122" spans="1:37" ht="54.95" customHeight="1" thickBot="1">
      <c r="A122" s="494"/>
      <c r="B122" s="495" t="s">
        <v>317</v>
      </c>
      <c r="C122" s="496"/>
      <c r="D122" s="497">
        <f>D105+D92+D76+D55+D45+D36+D28+D20+D3</f>
        <v>82597.820039999991</v>
      </c>
      <c r="E122" s="497">
        <f>E105+E92+E76+E55+E45+E36+E28+E20+E3</f>
        <v>54592.820040000006</v>
      </c>
      <c r="F122" s="498"/>
      <c r="G122" s="498"/>
      <c r="H122" s="499">
        <f>(H105+H92+H76+H55+H45+H36+H28+H20+H3)/9</f>
        <v>70.941475288907142</v>
      </c>
      <c r="I122" s="500"/>
      <c r="J122" s="501"/>
      <c r="K122" s="501"/>
      <c r="L122" s="502"/>
      <c r="M122" s="290"/>
      <c r="N122" s="290"/>
      <c r="O122" s="290"/>
      <c r="P122" s="290"/>
      <c r="Q122" s="290"/>
      <c r="R122" s="290"/>
      <c r="S122" s="290"/>
      <c r="T122" s="290"/>
      <c r="U122" s="290"/>
      <c r="V122" s="290"/>
      <c r="W122" s="290"/>
      <c r="X122" s="290"/>
      <c r="Y122" s="290"/>
      <c r="Z122" s="290"/>
      <c r="AA122" s="290"/>
      <c r="AB122" s="290"/>
      <c r="AC122" s="290"/>
      <c r="AD122" s="290"/>
    </row>
    <row r="123" spans="1:37" ht="54.95" customHeight="1">
      <c r="A123" s="503"/>
      <c r="B123" s="504"/>
      <c r="C123" s="504"/>
      <c r="D123" s="505"/>
      <c r="E123" s="506"/>
      <c r="F123" s="507"/>
      <c r="G123" s="504"/>
      <c r="H123" s="504"/>
      <c r="I123" s="504"/>
      <c r="M123" s="290"/>
      <c r="N123" s="290"/>
      <c r="O123" s="290"/>
      <c r="P123" s="290"/>
      <c r="Q123" s="290"/>
      <c r="R123" s="290"/>
      <c r="S123" s="290"/>
      <c r="T123" s="290"/>
      <c r="U123" s="290"/>
      <c r="V123" s="290"/>
      <c r="W123" s="290"/>
      <c r="X123" s="290"/>
      <c r="Y123" s="290"/>
      <c r="Z123" s="290"/>
      <c r="AA123" s="290"/>
      <c r="AB123" s="290"/>
      <c r="AC123" s="290"/>
      <c r="AD123" s="290"/>
    </row>
    <row r="124" spans="1:37" ht="54.95" customHeight="1">
      <c r="A124" s="503"/>
      <c r="B124" s="504"/>
      <c r="C124" s="504"/>
      <c r="D124" s="505"/>
      <c r="E124" s="506"/>
      <c r="F124" s="507"/>
      <c r="G124" s="504"/>
      <c r="H124" s="504"/>
      <c r="I124" s="504"/>
      <c r="M124" s="290"/>
      <c r="N124" s="290"/>
      <c r="O124" s="290"/>
      <c r="P124" s="290"/>
      <c r="Q124" s="290"/>
      <c r="R124" s="290"/>
      <c r="S124" s="290"/>
      <c r="T124" s="290"/>
      <c r="U124" s="290"/>
      <c r="V124" s="290"/>
      <c r="W124" s="290"/>
      <c r="X124" s="290"/>
      <c r="Y124" s="290"/>
      <c r="Z124" s="290"/>
      <c r="AA124" s="290"/>
      <c r="AB124" s="290"/>
      <c r="AC124" s="290"/>
      <c r="AD124" s="290"/>
    </row>
    <row r="125" spans="1:37" ht="54.95" customHeight="1">
      <c r="A125" s="508"/>
      <c r="B125" s="509"/>
      <c r="C125" s="509"/>
      <c r="D125" s="510"/>
      <c r="E125" s="510"/>
      <c r="F125" s="511"/>
      <c r="G125" s="509"/>
      <c r="H125" s="509"/>
      <c r="I125" s="509"/>
      <c r="J125" s="109"/>
      <c r="K125" s="109"/>
      <c r="L125" s="109"/>
      <c r="M125" s="380"/>
      <c r="N125" s="380"/>
      <c r="O125" s="380"/>
      <c r="P125" s="380"/>
      <c r="Q125" s="380"/>
      <c r="R125" s="380"/>
      <c r="S125" s="380"/>
      <c r="T125" s="380"/>
      <c r="U125" s="380"/>
      <c r="V125" s="380"/>
      <c r="W125" s="380"/>
      <c r="X125" s="380"/>
      <c r="Y125" s="380"/>
      <c r="Z125" s="380"/>
      <c r="AA125" s="380"/>
      <c r="AB125" s="380"/>
      <c r="AC125" s="380"/>
      <c r="AD125" s="380"/>
      <c r="AE125" s="109"/>
      <c r="AF125" s="109"/>
      <c r="AG125" s="109"/>
      <c r="AH125" s="109"/>
      <c r="AI125" s="109"/>
      <c r="AJ125" s="109"/>
      <c r="AK125" s="109"/>
    </row>
    <row r="126" spans="1:37" ht="54.95" customHeight="1">
      <c r="A126" s="508"/>
      <c r="B126" s="509"/>
      <c r="C126" s="509"/>
      <c r="D126" s="510"/>
      <c r="E126" s="510"/>
      <c r="F126" s="511"/>
      <c r="G126" s="509"/>
      <c r="H126" s="509"/>
      <c r="I126" s="509"/>
      <c r="J126" s="109"/>
      <c r="K126" s="109"/>
      <c r="L126" s="109"/>
      <c r="M126" s="380"/>
      <c r="N126" s="380"/>
      <c r="O126" s="380"/>
      <c r="P126" s="380"/>
      <c r="Q126" s="380"/>
      <c r="R126" s="380"/>
      <c r="S126" s="380"/>
      <c r="T126" s="380"/>
      <c r="U126" s="380"/>
      <c r="V126" s="380"/>
      <c r="W126" s="380"/>
      <c r="X126" s="380"/>
      <c r="Y126" s="380"/>
      <c r="Z126" s="380"/>
      <c r="AA126" s="380"/>
      <c r="AB126" s="380"/>
      <c r="AC126" s="380"/>
      <c r="AD126" s="380"/>
      <c r="AE126" s="109"/>
      <c r="AF126" s="109"/>
      <c r="AG126" s="109"/>
      <c r="AH126" s="109"/>
      <c r="AI126" s="109"/>
      <c r="AJ126" s="109"/>
      <c r="AK126" s="109"/>
    </row>
    <row r="127" spans="1:37" ht="54.95" customHeight="1">
      <c r="A127" s="508"/>
      <c r="B127" s="509"/>
      <c r="C127" s="509"/>
      <c r="D127" s="510"/>
      <c r="E127" s="510"/>
      <c r="F127" s="511"/>
      <c r="G127" s="509"/>
      <c r="H127" s="509"/>
      <c r="I127" s="509"/>
      <c r="J127" s="109"/>
      <c r="K127" s="109"/>
      <c r="L127" s="109"/>
      <c r="M127" s="380"/>
      <c r="N127" s="380"/>
      <c r="O127" s="380"/>
      <c r="P127" s="380"/>
      <c r="Q127" s="380"/>
      <c r="R127" s="380"/>
      <c r="S127" s="380"/>
      <c r="T127" s="380"/>
      <c r="U127" s="380"/>
      <c r="V127" s="380"/>
      <c r="W127" s="380"/>
      <c r="X127" s="380"/>
      <c r="Y127" s="380"/>
      <c r="Z127" s="380"/>
      <c r="AA127" s="380"/>
      <c r="AB127" s="380"/>
      <c r="AC127" s="380"/>
      <c r="AD127" s="380"/>
      <c r="AE127" s="109"/>
      <c r="AF127" s="109"/>
      <c r="AG127" s="109"/>
      <c r="AH127" s="109"/>
      <c r="AI127" s="109"/>
      <c r="AJ127" s="109"/>
      <c r="AK127" s="109"/>
    </row>
    <row r="128" spans="1:37" ht="54.95" customHeight="1">
      <c r="A128" s="512"/>
      <c r="B128" s="509"/>
      <c r="C128" s="509"/>
      <c r="D128" s="510"/>
      <c r="E128" s="510"/>
      <c r="F128" s="511"/>
      <c r="G128" s="509"/>
      <c r="H128" s="509"/>
      <c r="I128" s="509"/>
      <c r="J128" s="109"/>
      <c r="K128" s="109"/>
      <c r="L128" s="109"/>
      <c r="M128" s="380"/>
      <c r="N128" s="380"/>
      <c r="O128" s="380"/>
      <c r="P128" s="380"/>
      <c r="Q128" s="380"/>
      <c r="R128" s="380"/>
      <c r="S128" s="380"/>
      <c r="T128" s="380"/>
      <c r="U128" s="380"/>
      <c r="V128" s="380"/>
      <c r="W128" s="380"/>
      <c r="X128" s="380"/>
      <c r="Y128" s="380"/>
      <c r="Z128" s="380"/>
      <c r="AA128" s="380"/>
      <c r="AB128" s="380"/>
      <c r="AC128" s="380"/>
      <c r="AD128" s="380"/>
      <c r="AE128" s="109"/>
      <c r="AF128" s="109"/>
      <c r="AG128" s="109"/>
      <c r="AH128" s="109"/>
      <c r="AI128" s="109"/>
      <c r="AJ128" s="109"/>
      <c r="AK128" s="109"/>
    </row>
    <row r="129" spans="1:30" ht="54.95" customHeight="1">
      <c r="A129" s="503"/>
      <c r="B129" s="504"/>
      <c r="C129" s="504"/>
      <c r="D129" s="506"/>
      <c r="E129" s="506"/>
      <c r="F129" s="507"/>
      <c r="G129" s="504"/>
      <c r="H129" s="504"/>
      <c r="I129" s="504"/>
      <c r="M129" s="290"/>
      <c r="N129" s="290"/>
      <c r="O129" s="290"/>
      <c r="P129" s="290"/>
      <c r="Q129" s="290"/>
      <c r="R129" s="290"/>
      <c r="S129" s="290"/>
      <c r="T129" s="290"/>
      <c r="U129" s="290"/>
      <c r="V129" s="290"/>
      <c r="W129" s="290"/>
      <c r="X129" s="290"/>
      <c r="Y129" s="290"/>
      <c r="Z129" s="290"/>
      <c r="AA129" s="290"/>
      <c r="AB129" s="290"/>
      <c r="AC129" s="290"/>
      <c r="AD129" s="290"/>
    </row>
    <row r="130" spans="1:30" ht="54.95" customHeight="1">
      <c r="A130" s="503"/>
      <c r="B130" s="504"/>
      <c r="C130" s="504"/>
      <c r="D130" s="506"/>
      <c r="E130" s="506"/>
      <c r="F130" s="507"/>
      <c r="G130" s="504"/>
      <c r="H130" s="504"/>
      <c r="I130" s="504"/>
      <c r="M130" s="290"/>
      <c r="N130" s="290"/>
      <c r="O130" s="290"/>
      <c r="P130" s="290"/>
      <c r="Q130" s="290"/>
      <c r="R130" s="290"/>
      <c r="S130" s="290"/>
      <c r="T130" s="290"/>
      <c r="U130" s="290"/>
      <c r="V130" s="290"/>
      <c r="W130" s="290"/>
      <c r="X130" s="290"/>
      <c r="Y130" s="290"/>
      <c r="Z130" s="290"/>
      <c r="AA130" s="290"/>
      <c r="AB130" s="290"/>
      <c r="AC130" s="290"/>
      <c r="AD130" s="290"/>
    </row>
    <row r="131" spans="1:30" ht="60" customHeight="1">
      <c r="A131" s="503"/>
      <c r="B131" s="504"/>
      <c r="C131" s="504"/>
      <c r="D131" s="506"/>
      <c r="E131" s="506"/>
      <c r="F131" s="507"/>
      <c r="G131" s="504"/>
      <c r="H131" s="504"/>
      <c r="I131" s="504"/>
      <c r="M131" s="290"/>
      <c r="N131" s="290"/>
      <c r="O131" s="290"/>
      <c r="P131" s="290"/>
      <c r="Q131" s="290"/>
      <c r="R131" s="290"/>
      <c r="S131" s="290"/>
      <c r="T131" s="290"/>
      <c r="U131" s="290"/>
      <c r="V131" s="290"/>
      <c r="W131" s="290"/>
      <c r="X131" s="290"/>
      <c r="Y131" s="290"/>
      <c r="Z131" s="290"/>
      <c r="AA131" s="290"/>
      <c r="AB131" s="290"/>
      <c r="AC131" s="290"/>
      <c r="AD131" s="290"/>
    </row>
    <row r="132" spans="1:30" ht="60" customHeight="1">
      <c r="A132" s="503"/>
      <c r="B132" s="504"/>
      <c r="C132" s="504"/>
      <c r="D132" s="506"/>
      <c r="E132" s="506"/>
      <c r="F132" s="507"/>
      <c r="G132" s="504"/>
      <c r="H132" s="504"/>
      <c r="I132" s="504"/>
      <c r="M132" s="290"/>
      <c r="N132" s="290"/>
      <c r="O132" s="290"/>
      <c r="P132" s="290"/>
      <c r="Q132" s="290"/>
      <c r="R132" s="290"/>
      <c r="S132" s="290"/>
      <c r="T132" s="290"/>
      <c r="U132" s="290"/>
      <c r="V132" s="290"/>
      <c r="W132" s="290"/>
      <c r="X132" s="290"/>
      <c r="Y132" s="290"/>
      <c r="Z132" s="290"/>
      <c r="AA132" s="290"/>
      <c r="AB132" s="290"/>
      <c r="AC132" s="290"/>
      <c r="AD132" s="290"/>
    </row>
    <row r="133" spans="1:30" ht="60" customHeight="1">
      <c r="A133" s="503"/>
      <c r="B133" s="504"/>
      <c r="C133" s="504"/>
      <c r="D133" s="506"/>
      <c r="E133" s="506"/>
      <c r="F133" s="507"/>
      <c r="G133" s="504"/>
      <c r="H133" s="504"/>
      <c r="I133" s="504"/>
      <c r="M133" s="290"/>
      <c r="N133" s="290"/>
      <c r="O133" s="290"/>
      <c r="P133" s="290"/>
      <c r="Q133" s="290"/>
      <c r="R133" s="290"/>
      <c r="S133" s="290"/>
      <c r="T133" s="290"/>
      <c r="U133" s="290"/>
      <c r="V133" s="290"/>
      <c r="W133" s="290"/>
      <c r="X133" s="290"/>
      <c r="Y133" s="290"/>
      <c r="Z133" s="290"/>
      <c r="AA133" s="290"/>
      <c r="AB133" s="290"/>
      <c r="AC133" s="290"/>
      <c r="AD133" s="290"/>
    </row>
    <row r="134" spans="1:30" ht="60" customHeight="1">
      <c r="A134" s="503"/>
      <c r="B134" s="504"/>
      <c r="C134" s="504"/>
      <c r="D134" s="506"/>
      <c r="E134" s="506"/>
      <c r="F134" s="507"/>
      <c r="G134" s="504"/>
      <c r="H134" s="504"/>
      <c r="I134" s="504"/>
      <c r="M134" s="290"/>
      <c r="N134" s="290"/>
      <c r="O134" s="290"/>
      <c r="P134" s="290"/>
      <c r="Q134" s="290"/>
      <c r="R134" s="290"/>
      <c r="S134" s="290"/>
      <c r="T134" s="290"/>
      <c r="U134" s="290"/>
      <c r="V134" s="290"/>
      <c r="W134" s="290"/>
      <c r="X134" s="290"/>
      <c r="Y134" s="290"/>
      <c r="Z134" s="290"/>
      <c r="AA134" s="290"/>
      <c r="AB134" s="290"/>
      <c r="AC134" s="290"/>
      <c r="AD134" s="290"/>
    </row>
    <row r="135" spans="1:30" ht="60" customHeight="1">
      <c r="A135" s="503"/>
      <c r="B135" s="504"/>
      <c r="C135" s="504"/>
      <c r="D135" s="506"/>
      <c r="E135" s="506"/>
      <c r="F135" s="507"/>
      <c r="G135" s="504"/>
      <c r="H135" s="504"/>
      <c r="I135" s="504"/>
      <c r="M135" s="290"/>
      <c r="N135" s="290"/>
      <c r="O135" s="290"/>
      <c r="P135" s="290"/>
      <c r="Q135" s="290"/>
      <c r="R135" s="290"/>
      <c r="S135" s="290"/>
      <c r="T135" s="290"/>
      <c r="U135" s="290"/>
      <c r="V135" s="290"/>
      <c r="W135" s="290"/>
      <c r="X135" s="290"/>
      <c r="Y135" s="290"/>
      <c r="Z135" s="290"/>
      <c r="AA135" s="290"/>
      <c r="AB135" s="290"/>
      <c r="AC135" s="290"/>
      <c r="AD135" s="290"/>
    </row>
    <row r="136" spans="1:30" ht="15.75">
      <c r="A136" s="503"/>
      <c r="B136" s="504"/>
      <c r="C136" s="504"/>
      <c r="D136" s="506"/>
      <c r="E136" s="506"/>
      <c r="F136" s="507"/>
      <c r="G136" s="504"/>
      <c r="H136" s="504"/>
      <c r="I136" s="504"/>
      <c r="M136" s="290"/>
      <c r="N136" s="290"/>
      <c r="O136" s="290"/>
      <c r="P136" s="290"/>
      <c r="Q136" s="290"/>
      <c r="R136" s="290"/>
      <c r="S136" s="290"/>
      <c r="T136" s="290"/>
      <c r="U136" s="290"/>
      <c r="V136" s="290"/>
      <c r="W136" s="290"/>
      <c r="X136" s="290"/>
      <c r="Y136" s="290"/>
      <c r="Z136" s="290"/>
      <c r="AA136" s="290"/>
      <c r="AB136" s="290"/>
      <c r="AC136" s="290"/>
      <c r="AD136" s="290"/>
    </row>
    <row r="137" spans="1:30" ht="15.75">
      <c r="A137" s="503"/>
      <c r="B137" s="504"/>
      <c r="C137" s="504"/>
      <c r="D137" s="506"/>
      <c r="E137" s="506"/>
      <c r="F137" s="507"/>
      <c r="G137" s="504"/>
      <c r="H137" s="504"/>
      <c r="I137" s="504"/>
      <c r="M137" s="290"/>
      <c r="N137" s="290"/>
      <c r="O137" s="290"/>
      <c r="P137" s="290"/>
      <c r="Q137" s="290"/>
      <c r="R137" s="290"/>
      <c r="S137" s="290"/>
      <c r="T137" s="290"/>
      <c r="U137" s="290"/>
      <c r="V137" s="290"/>
      <c r="W137" s="290"/>
      <c r="X137" s="290"/>
      <c r="Y137" s="290"/>
      <c r="Z137" s="290"/>
      <c r="AA137" s="290"/>
      <c r="AB137" s="290"/>
      <c r="AC137" s="290"/>
      <c r="AD137" s="290"/>
    </row>
    <row r="138" spans="1:30" ht="15.75">
      <c r="A138" s="503"/>
      <c r="B138" s="504"/>
      <c r="C138" s="504"/>
      <c r="D138" s="506"/>
      <c r="E138" s="506"/>
      <c r="F138" s="507"/>
      <c r="G138" s="504"/>
      <c r="H138" s="504"/>
      <c r="I138" s="504"/>
      <c r="M138" s="290"/>
      <c r="N138" s="290"/>
      <c r="O138" s="290"/>
      <c r="P138" s="290"/>
      <c r="Q138" s="290"/>
      <c r="R138" s="290"/>
      <c r="S138" s="290"/>
      <c r="T138" s="290"/>
      <c r="U138" s="290"/>
      <c r="V138" s="290"/>
      <c r="W138" s="290"/>
      <c r="X138" s="290"/>
      <c r="Y138" s="290"/>
      <c r="Z138" s="290"/>
      <c r="AA138" s="290"/>
      <c r="AB138" s="290"/>
      <c r="AC138" s="290"/>
      <c r="AD138" s="290"/>
    </row>
    <row r="139" spans="1:30" ht="15.75">
      <c r="A139" s="503"/>
      <c r="B139" s="504"/>
      <c r="C139" s="504"/>
      <c r="D139" s="506"/>
      <c r="E139" s="506"/>
      <c r="F139" s="507"/>
      <c r="G139" s="504"/>
      <c r="H139" s="504"/>
      <c r="I139" s="504"/>
      <c r="M139" s="290"/>
      <c r="N139" s="290"/>
      <c r="O139" s="290"/>
      <c r="P139" s="290"/>
      <c r="Q139" s="290"/>
      <c r="R139" s="290"/>
      <c r="S139" s="290"/>
      <c r="T139" s="290"/>
      <c r="U139" s="290"/>
      <c r="V139" s="290"/>
      <c r="W139" s="290"/>
      <c r="X139" s="290"/>
      <c r="Y139" s="290"/>
      <c r="Z139" s="290"/>
      <c r="AA139" s="290"/>
      <c r="AB139" s="290"/>
      <c r="AC139" s="290"/>
      <c r="AD139" s="290"/>
    </row>
    <row r="140" spans="1:30" ht="15.75">
      <c r="A140" s="503"/>
      <c r="B140" s="504"/>
      <c r="C140" s="504"/>
      <c r="D140" s="506"/>
      <c r="E140" s="506"/>
      <c r="F140" s="507"/>
      <c r="G140" s="504"/>
      <c r="H140" s="504"/>
      <c r="I140" s="504"/>
      <c r="M140" s="290"/>
      <c r="N140" s="290"/>
      <c r="O140" s="290"/>
      <c r="P140" s="290"/>
      <c r="Q140" s="290"/>
      <c r="R140" s="290"/>
      <c r="S140" s="290"/>
      <c r="T140" s="290"/>
      <c r="U140" s="290"/>
      <c r="V140" s="290"/>
      <c r="W140" s="290"/>
      <c r="X140" s="290"/>
      <c r="Y140" s="290"/>
      <c r="Z140" s="290"/>
      <c r="AA140" s="290"/>
      <c r="AB140" s="290"/>
      <c r="AC140" s="290"/>
      <c r="AD140" s="290"/>
    </row>
    <row r="141" spans="1:30" ht="15.75">
      <c r="A141" s="503"/>
      <c r="B141" s="504"/>
      <c r="C141" s="504"/>
      <c r="D141" s="506"/>
      <c r="E141" s="506"/>
      <c r="F141" s="507"/>
      <c r="G141" s="504"/>
      <c r="H141" s="504"/>
      <c r="I141" s="504"/>
      <c r="M141" s="290"/>
      <c r="N141" s="290"/>
      <c r="O141" s="290"/>
      <c r="P141" s="290"/>
      <c r="Q141" s="290"/>
      <c r="R141" s="290"/>
      <c r="S141" s="290"/>
      <c r="T141" s="290"/>
      <c r="U141" s="290"/>
      <c r="V141" s="290"/>
      <c r="W141" s="290"/>
      <c r="X141" s="290"/>
      <c r="Y141" s="290"/>
      <c r="Z141" s="290"/>
      <c r="AA141" s="290"/>
      <c r="AB141" s="290"/>
      <c r="AC141" s="290"/>
      <c r="AD141" s="290"/>
    </row>
    <row r="142" spans="1:30" ht="15.75">
      <c r="A142" s="503"/>
      <c r="B142" s="504"/>
      <c r="C142" s="504"/>
      <c r="D142" s="506"/>
      <c r="E142" s="506"/>
      <c r="F142" s="507"/>
      <c r="G142" s="504"/>
      <c r="H142" s="504"/>
      <c r="I142" s="504"/>
      <c r="M142" s="290"/>
      <c r="N142" s="290"/>
      <c r="O142" s="290"/>
      <c r="P142" s="290"/>
      <c r="Q142" s="290"/>
      <c r="R142" s="290"/>
      <c r="S142" s="290"/>
      <c r="T142" s="290"/>
      <c r="U142" s="290"/>
      <c r="V142" s="290"/>
      <c r="W142" s="290"/>
      <c r="X142" s="290"/>
      <c r="Y142" s="290"/>
      <c r="Z142" s="290"/>
      <c r="AA142" s="290"/>
      <c r="AB142" s="290"/>
      <c r="AC142" s="290"/>
      <c r="AD142" s="290"/>
    </row>
    <row r="143" spans="1:30" ht="15.75">
      <c r="A143" s="503"/>
      <c r="B143" s="504"/>
      <c r="C143" s="504"/>
      <c r="D143" s="506"/>
      <c r="E143" s="506"/>
      <c r="F143" s="507"/>
      <c r="G143" s="504"/>
      <c r="H143" s="504"/>
      <c r="I143" s="504"/>
      <c r="M143" s="290"/>
      <c r="N143" s="290"/>
      <c r="O143" s="290"/>
      <c r="P143" s="290"/>
      <c r="Q143" s="290"/>
      <c r="R143" s="290"/>
      <c r="S143" s="290"/>
      <c r="T143" s="290"/>
      <c r="U143" s="290"/>
      <c r="V143" s="290"/>
      <c r="W143" s="290"/>
      <c r="X143" s="290"/>
      <c r="Y143" s="290"/>
      <c r="Z143" s="290"/>
      <c r="AA143" s="290"/>
      <c r="AB143" s="290"/>
      <c r="AC143" s="290"/>
      <c r="AD143" s="290"/>
    </row>
    <row r="144" spans="1:30" ht="15.75">
      <c r="A144" s="503"/>
      <c r="B144" s="504"/>
      <c r="C144" s="504"/>
      <c r="D144" s="506"/>
      <c r="E144" s="506"/>
      <c r="F144" s="507"/>
      <c r="G144" s="504"/>
      <c r="H144" s="504"/>
      <c r="I144" s="504"/>
      <c r="M144" s="290"/>
      <c r="N144" s="290"/>
      <c r="O144" s="290"/>
      <c r="P144" s="290"/>
      <c r="Q144" s="290"/>
      <c r="R144" s="290"/>
      <c r="S144" s="290"/>
      <c r="T144" s="290"/>
      <c r="U144" s="290"/>
      <c r="V144" s="290"/>
      <c r="W144" s="290"/>
      <c r="X144" s="290"/>
      <c r="Y144" s="290"/>
      <c r="Z144" s="290"/>
      <c r="AA144" s="290"/>
      <c r="AB144" s="290"/>
      <c r="AC144" s="290"/>
      <c r="AD144" s="290"/>
    </row>
    <row r="145" spans="1:30" ht="15.75">
      <c r="A145" s="503"/>
      <c r="B145" s="504"/>
      <c r="C145" s="504"/>
      <c r="D145" s="506"/>
      <c r="E145" s="506"/>
      <c r="F145" s="507"/>
      <c r="G145" s="504"/>
      <c r="H145" s="504"/>
      <c r="I145" s="504"/>
      <c r="M145" s="290"/>
      <c r="N145" s="290"/>
      <c r="O145" s="290"/>
      <c r="P145" s="290"/>
      <c r="Q145" s="290"/>
      <c r="R145" s="290"/>
      <c r="S145" s="290"/>
      <c r="T145" s="290"/>
      <c r="U145" s="290"/>
      <c r="V145" s="290"/>
      <c r="W145" s="290"/>
      <c r="X145" s="290"/>
      <c r="Y145" s="290"/>
      <c r="Z145" s="290"/>
      <c r="AA145" s="290"/>
      <c r="AB145" s="290"/>
      <c r="AC145" s="290"/>
      <c r="AD145" s="290"/>
    </row>
    <row r="146" spans="1:30" ht="15.75">
      <c r="A146" s="503"/>
      <c r="B146" s="504"/>
      <c r="C146" s="504"/>
      <c r="D146" s="506"/>
      <c r="E146" s="506"/>
      <c r="F146" s="507"/>
      <c r="G146" s="504"/>
      <c r="H146" s="504"/>
      <c r="I146" s="504"/>
      <c r="M146" s="290"/>
      <c r="N146" s="290"/>
      <c r="O146" s="290"/>
      <c r="P146" s="290"/>
      <c r="Q146" s="290"/>
      <c r="R146" s="290"/>
      <c r="S146" s="290"/>
      <c r="T146" s="290"/>
      <c r="U146" s="290"/>
      <c r="V146" s="290"/>
      <c r="W146" s="290"/>
      <c r="X146" s="290"/>
      <c r="Y146" s="290"/>
      <c r="Z146" s="290"/>
      <c r="AA146" s="290"/>
      <c r="AB146" s="290"/>
      <c r="AC146" s="290"/>
      <c r="AD146" s="290"/>
    </row>
    <row r="147" spans="1:30" ht="15.75">
      <c r="A147" s="503"/>
      <c r="B147" s="504"/>
      <c r="C147" s="504"/>
      <c r="D147" s="506"/>
      <c r="E147" s="506"/>
      <c r="F147" s="507"/>
      <c r="G147" s="504"/>
      <c r="H147" s="504"/>
      <c r="I147" s="504"/>
      <c r="M147" s="290"/>
      <c r="N147" s="290"/>
      <c r="O147" s="290"/>
      <c r="P147" s="290"/>
      <c r="Q147" s="290"/>
      <c r="R147" s="290"/>
      <c r="S147" s="290"/>
      <c r="T147" s="290"/>
      <c r="U147" s="290"/>
      <c r="V147" s="290"/>
      <c r="W147" s="290"/>
      <c r="X147" s="290"/>
      <c r="Y147" s="290"/>
      <c r="Z147" s="290"/>
      <c r="AA147" s="290"/>
      <c r="AB147" s="290"/>
      <c r="AC147" s="290"/>
      <c r="AD147" s="290"/>
    </row>
    <row r="148" spans="1:30" ht="15.75">
      <c r="A148" s="503"/>
      <c r="B148" s="504"/>
      <c r="C148" s="504"/>
      <c r="D148" s="506"/>
      <c r="E148" s="506"/>
      <c r="F148" s="507"/>
      <c r="G148" s="504"/>
      <c r="H148" s="504"/>
      <c r="I148" s="504"/>
      <c r="M148" s="290"/>
      <c r="N148" s="290"/>
      <c r="O148" s="290"/>
      <c r="P148" s="290"/>
      <c r="Q148" s="290"/>
      <c r="R148" s="290"/>
      <c r="S148" s="290"/>
      <c r="T148" s="290"/>
      <c r="U148" s="290"/>
      <c r="V148" s="290"/>
      <c r="W148" s="290"/>
      <c r="X148" s="290"/>
      <c r="Y148" s="290"/>
      <c r="Z148" s="290"/>
      <c r="AA148" s="290"/>
      <c r="AB148" s="290"/>
      <c r="AC148" s="290"/>
      <c r="AD148" s="290"/>
    </row>
    <row r="149" spans="1:30" ht="15.75">
      <c r="A149" s="503"/>
      <c r="B149" s="504"/>
      <c r="C149" s="504"/>
      <c r="D149" s="506"/>
      <c r="E149" s="506"/>
      <c r="F149" s="507"/>
      <c r="G149" s="504"/>
      <c r="H149" s="504"/>
      <c r="I149" s="504"/>
      <c r="M149" s="290"/>
      <c r="N149" s="290"/>
      <c r="O149" s="290"/>
      <c r="P149" s="290"/>
      <c r="Q149" s="290"/>
      <c r="R149" s="290"/>
      <c r="S149" s="290"/>
      <c r="T149" s="290"/>
      <c r="U149" s="290"/>
      <c r="V149" s="290"/>
      <c r="W149" s="290"/>
      <c r="X149" s="290"/>
      <c r="Y149" s="290"/>
      <c r="Z149" s="290"/>
      <c r="AA149" s="290"/>
      <c r="AB149" s="290"/>
      <c r="AC149" s="290"/>
      <c r="AD149" s="290"/>
    </row>
    <row r="150" spans="1:30" ht="15.75">
      <c r="A150" s="503"/>
      <c r="B150" s="504"/>
      <c r="C150" s="504"/>
      <c r="D150" s="506"/>
      <c r="E150" s="506"/>
      <c r="F150" s="507"/>
      <c r="G150" s="504"/>
      <c r="H150" s="504"/>
      <c r="I150" s="504"/>
      <c r="M150" s="290"/>
      <c r="N150" s="290"/>
      <c r="O150" s="290"/>
      <c r="P150" s="290"/>
      <c r="Q150" s="290"/>
      <c r="R150" s="290"/>
      <c r="S150" s="290"/>
      <c r="T150" s="290"/>
      <c r="U150" s="290"/>
      <c r="V150" s="290"/>
      <c r="W150" s="290"/>
      <c r="X150" s="290"/>
      <c r="Y150" s="290"/>
      <c r="Z150" s="290"/>
      <c r="AA150" s="290"/>
      <c r="AB150" s="290"/>
      <c r="AC150" s="290"/>
      <c r="AD150" s="290"/>
    </row>
    <row r="151" spans="1:30" ht="15.75">
      <c r="A151" s="503"/>
      <c r="B151" s="504"/>
      <c r="C151" s="504"/>
      <c r="D151" s="506"/>
      <c r="E151" s="506"/>
      <c r="F151" s="507"/>
      <c r="G151" s="504"/>
      <c r="H151" s="504"/>
      <c r="I151" s="504"/>
      <c r="M151" s="290"/>
      <c r="N151" s="290"/>
      <c r="O151" s="290"/>
      <c r="P151" s="290"/>
      <c r="Q151" s="290"/>
      <c r="R151" s="290"/>
      <c r="S151" s="290"/>
      <c r="T151" s="290"/>
      <c r="U151" s="290"/>
      <c r="V151" s="290"/>
      <c r="W151" s="290"/>
      <c r="X151" s="290"/>
      <c r="Y151" s="290"/>
      <c r="Z151" s="290"/>
      <c r="AA151" s="290"/>
      <c r="AB151" s="290"/>
      <c r="AC151" s="290"/>
      <c r="AD151" s="290"/>
    </row>
    <row r="152" spans="1:30" ht="15.75">
      <c r="A152" s="503"/>
      <c r="B152" s="504"/>
      <c r="C152" s="504"/>
      <c r="D152" s="506"/>
      <c r="E152" s="506"/>
      <c r="F152" s="507"/>
      <c r="G152" s="504"/>
      <c r="H152" s="504"/>
      <c r="I152" s="504"/>
      <c r="M152" s="290"/>
      <c r="N152" s="290"/>
      <c r="O152" s="290"/>
      <c r="P152" s="290"/>
      <c r="Q152" s="290"/>
      <c r="R152" s="290"/>
      <c r="S152" s="290"/>
      <c r="T152" s="290"/>
      <c r="U152" s="290"/>
      <c r="V152" s="290"/>
      <c r="W152" s="290"/>
      <c r="X152" s="290"/>
      <c r="Y152" s="290"/>
      <c r="Z152" s="290"/>
      <c r="AA152" s="290"/>
      <c r="AB152" s="290"/>
      <c r="AC152" s="290"/>
      <c r="AD152" s="290"/>
    </row>
    <row r="153" spans="1:30" ht="15.75">
      <c r="A153" s="503"/>
      <c r="B153" s="504"/>
      <c r="C153" s="504"/>
      <c r="D153" s="506"/>
      <c r="E153" s="506"/>
      <c r="F153" s="507"/>
      <c r="G153" s="504"/>
      <c r="H153" s="504"/>
      <c r="I153" s="504"/>
      <c r="M153" s="290"/>
      <c r="N153" s="290"/>
      <c r="O153" s="290"/>
      <c r="P153" s="290"/>
      <c r="Q153" s="290"/>
      <c r="R153" s="290"/>
      <c r="S153" s="290"/>
      <c r="T153" s="290"/>
      <c r="U153" s="290"/>
      <c r="V153" s="290"/>
      <c r="W153" s="290"/>
      <c r="X153" s="290"/>
      <c r="Y153" s="290"/>
      <c r="Z153" s="290"/>
      <c r="AA153" s="290"/>
      <c r="AB153" s="290"/>
      <c r="AC153" s="290"/>
      <c r="AD153" s="290"/>
    </row>
    <row r="154" spans="1:30" ht="15.75">
      <c r="A154" s="503"/>
      <c r="B154" s="504"/>
      <c r="C154" s="504"/>
      <c r="D154" s="506"/>
      <c r="E154" s="506"/>
      <c r="F154" s="507"/>
      <c r="G154" s="504"/>
      <c r="H154" s="504"/>
      <c r="I154" s="504"/>
      <c r="M154" s="290"/>
      <c r="N154" s="290"/>
      <c r="O154" s="290"/>
      <c r="P154" s="290"/>
      <c r="Q154" s="290"/>
      <c r="R154" s="290"/>
      <c r="S154" s="290"/>
      <c r="T154" s="290"/>
      <c r="U154" s="290"/>
      <c r="V154" s="290"/>
      <c r="W154" s="290"/>
      <c r="X154" s="290"/>
      <c r="Y154" s="290"/>
      <c r="Z154" s="290"/>
      <c r="AA154" s="290"/>
      <c r="AB154" s="290"/>
      <c r="AC154" s="290"/>
      <c r="AD154" s="290"/>
    </row>
    <row r="155" spans="1:30" ht="15.75">
      <c r="A155" s="503"/>
      <c r="B155" s="504"/>
      <c r="C155" s="504"/>
      <c r="D155" s="506"/>
      <c r="E155" s="506"/>
      <c r="F155" s="507"/>
      <c r="G155" s="504"/>
      <c r="H155" s="504"/>
      <c r="I155" s="504"/>
      <c r="M155" s="290"/>
      <c r="N155" s="290"/>
      <c r="O155" s="290"/>
      <c r="P155" s="290"/>
      <c r="Q155" s="290"/>
      <c r="R155" s="290"/>
      <c r="S155" s="290"/>
      <c r="T155" s="290"/>
      <c r="U155" s="290"/>
      <c r="V155" s="290"/>
      <c r="W155" s="290"/>
      <c r="X155" s="290"/>
      <c r="Y155" s="290"/>
      <c r="Z155" s="290"/>
      <c r="AA155" s="290"/>
      <c r="AB155" s="290"/>
      <c r="AC155" s="290"/>
      <c r="AD155" s="290"/>
    </row>
    <row r="156" spans="1:30" ht="15.75">
      <c r="A156" s="503"/>
      <c r="B156" s="504"/>
      <c r="C156" s="504"/>
      <c r="D156" s="506"/>
      <c r="E156" s="506"/>
      <c r="F156" s="507"/>
      <c r="G156" s="504"/>
      <c r="H156" s="504"/>
      <c r="I156" s="504"/>
      <c r="M156" s="290"/>
      <c r="N156" s="290"/>
      <c r="O156" s="290"/>
      <c r="P156" s="290"/>
      <c r="Q156" s="290"/>
      <c r="R156" s="290"/>
      <c r="S156" s="290"/>
      <c r="T156" s="290"/>
      <c r="U156" s="290"/>
      <c r="V156" s="290"/>
      <c r="W156" s="290"/>
      <c r="X156" s="290"/>
      <c r="Y156" s="290"/>
      <c r="Z156" s="290"/>
      <c r="AA156" s="290"/>
      <c r="AB156" s="290"/>
      <c r="AC156" s="290"/>
      <c r="AD156" s="290"/>
    </row>
  </sheetData>
  <protectedRanges>
    <protectedRange sqref="M1:N30 O1:P31 M32:P33 Y1:AK44 Q1:X34 M36:X44 Q45:AK46 N47:AK47 Z48:AK82 Y48:Y80 P70:P82 Q48:X82 P83:Q84 M45:P50 M92:AA92 M95:P95 M96:N108 M109:O110 O52:P66 P85:AA91 A125:AA156 R117:AA120 P119:Q120 O93:AA116 M111:N115 A117:O120 M52:N94 AB83:AK156 O70:O91 A1:L8 A9:D9 F9:L9 A10:L116" name="Диапазон1" securityDescriptor="O:WDG:WDD:(A;;CC;;;S-1-5-21-1269620018-2266175787-4268506810-1000)(A;;CC;;;WD)"/>
  </protectedRanges>
  <mergeCells count="57">
    <mergeCell ref="B30:B31"/>
    <mergeCell ref="L1:L2"/>
    <mergeCell ref="B3:B6"/>
    <mergeCell ref="B7:B8"/>
    <mergeCell ref="B9:B10"/>
    <mergeCell ref="B12:B15"/>
    <mergeCell ref="B16:B19"/>
    <mergeCell ref="F1:F2"/>
    <mergeCell ref="G1:G2"/>
    <mergeCell ref="H1:H2"/>
    <mergeCell ref="I1:I2"/>
    <mergeCell ref="J1:J2"/>
    <mergeCell ref="K1:K2"/>
    <mergeCell ref="B20:B22"/>
    <mergeCell ref="B23:B24"/>
    <mergeCell ref="B25:B27"/>
    <mergeCell ref="D25:K25"/>
    <mergeCell ref="B28:B29"/>
    <mergeCell ref="D32:K32"/>
    <mergeCell ref="B33:B35"/>
    <mergeCell ref="D33:K33"/>
    <mergeCell ref="B36:B38"/>
    <mergeCell ref="B41:B42"/>
    <mergeCell ref="D41:H42"/>
    <mergeCell ref="B85:B86"/>
    <mergeCell ref="B43:B44"/>
    <mergeCell ref="B45:B47"/>
    <mergeCell ref="B48:B50"/>
    <mergeCell ref="B51:B54"/>
    <mergeCell ref="B55:B58"/>
    <mergeCell ref="B60:B63"/>
    <mergeCell ref="B64:B66"/>
    <mergeCell ref="B67:B71"/>
    <mergeCell ref="B72:B75"/>
    <mergeCell ref="D72:K72"/>
    <mergeCell ref="B83:B84"/>
    <mergeCell ref="B105:B108"/>
    <mergeCell ref="B87:B88"/>
    <mergeCell ref="B89:B91"/>
    <mergeCell ref="B92:B93"/>
    <mergeCell ref="B94:B95"/>
    <mergeCell ref="B96:B98"/>
    <mergeCell ref="B99:B100"/>
    <mergeCell ref="D99:K99"/>
    <mergeCell ref="B101:B102"/>
    <mergeCell ref="D101:K101"/>
    <mergeCell ref="B103:B104"/>
    <mergeCell ref="D103:K103"/>
    <mergeCell ref="B117:B120"/>
    <mergeCell ref="N117:O117"/>
    <mergeCell ref="N118:O118"/>
    <mergeCell ref="B109:B110"/>
    <mergeCell ref="D109:K109"/>
    <mergeCell ref="D111:K111"/>
    <mergeCell ref="B113:B116"/>
    <mergeCell ref="M115:M116"/>
    <mergeCell ref="N115:O11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8"/>
  <sheetViews>
    <sheetView tabSelected="1" topLeftCell="A182" zoomScale="55" zoomScaleNormal="55" workbookViewId="0">
      <selection activeCell="D191" sqref="D191:E192"/>
    </sheetView>
  </sheetViews>
  <sheetFormatPr defaultRowHeight="15" outlineLevelCol="1"/>
  <cols>
    <col min="1" max="1" width="10.5703125" bestFit="1" customWidth="1"/>
    <col min="2" max="2" width="39.140625" bestFit="1" customWidth="1"/>
    <col min="3" max="3" width="17" customWidth="1"/>
    <col min="4" max="4" width="19.85546875" customWidth="1"/>
    <col min="5" max="5" width="17.85546875" customWidth="1"/>
    <col min="6" max="6" width="16.5703125" customWidth="1" outlineLevel="1"/>
    <col min="7" max="7" width="17" customWidth="1" outlineLevel="1"/>
    <col min="8" max="8" width="17.28515625" bestFit="1" customWidth="1"/>
    <col min="9" max="10" width="13.140625" customWidth="1" outlineLevel="1"/>
    <col min="11" max="11" width="13" customWidth="1" outlineLevel="1"/>
    <col min="12" max="12" width="21.42578125" customWidth="1"/>
    <col min="13" max="13" width="53.42578125" customWidth="1" outlineLevel="1"/>
    <col min="14" max="14" width="32.85546875" customWidth="1" outlineLevel="1"/>
    <col min="15" max="15" width="34.42578125" customWidth="1" outlineLevel="1"/>
    <col min="16" max="16" width="33.28515625" customWidth="1" outlineLevel="1"/>
    <col min="17" max="17" width="32" customWidth="1" outlineLevel="1"/>
    <col min="18" max="18" width="21.28515625" customWidth="1" outlineLevel="1"/>
    <col min="19" max="19" width="22.7109375" customWidth="1" outlineLevel="1"/>
    <col min="20" max="20" width="30.42578125" customWidth="1" outlineLevel="1"/>
    <col min="21" max="21" width="24" customWidth="1" outlineLevel="1"/>
    <col min="22" max="22" width="30.7109375" customWidth="1" outlineLevel="1"/>
    <col min="23" max="23" width="33.42578125" customWidth="1" outlineLevel="1"/>
    <col min="24" max="24" width="32.42578125" customWidth="1" outlineLevel="1"/>
    <col min="25" max="25" width="30.7109375" customWidth="1" outlineLevel="1"/>
  </cols>
  <sheetData>
    <row r="1" spans="1:18" ht="157.5" customHeight="1" thickBot="1">
      <c r="A1" s="644" t="s">
        <v>0</v>
      </c>
      <c r="B1" s="646" t="s">
        <v>1</v>
      </c>
      <c r="C1" s="646" t="s">
        <v>2</v>
      </c>
      <c r="D1" s="1" t="s">
        <v>3</v>
      </c>
      <c r="E1" s="1" t="s">
        <v>4</v>
      </c>
      <c r="F1" s="648" t="s">
        <v>5</v>
      </c>
      <c r="G1" s="650" t="s">
        <v>6</v>
      </c>
      <c r="H1" s="652" t="s">
        <v>7</v>
      </c>
      <c r="I1" s="640" t="s">
        <v>8</v>
      </c>
      <c r="J1" s="640" t="s">
        <v>9</v>
      </c>
      <c r="K1" s="640" t="s">
        <v>10</v>
      </c>
      <c r="L1" s="642" t="s">
        <v>11</v>
      </c>
      <c r="N1" s="2"/>
      <c r="O1" s="3"/>
    </row>
    <row r="2" spans="1:18" ht="111" customHeight="1" thickBot="1">
      <c r="A2" s="645"/>
      <c r="B2" s="647"/>
      <c r="C2" s="647"/>
      <c r="D2" s="4" t="s">
        <v>12</v>
      </c>
      <c r="E2" s="4" t="s">
        <v>13</v>
      </c>
      <c r="F2" s="649"/>
      <c r="G2" s="651"/>
      <c r="H2" s="653"/>
      <c r="I2" s="641"/>
      <c r="J2" s="641"/>
      <c r="K2" s="641"/>
      <c r="L2" s="643"/>
      <c r="M2" s="5" t="s">
        <v>14</v>
      </c>
      <c r="N2" s="6" t="s">
        <v>15</v>
      </c>
      <c r="O2" s="6" t="s">
        <v>16</v>
      </c>
      <c r="P2" s="6" t="s">
        <v>17</v>
      </c>
      <c r="Q2" s="6" t="s">
        <v>18</v>
      </c>
      <c r="R2" s="6" t="s">
        <v>19</v>
      </c>
    </row>
    <row r="3" spans="1:18" ht="34.5" customHeight="1">
      <c r="A3" s="7">
        <v>1</v>
      </c>
      <c r="B3" s="580" t="s">
        <v>20</v>
      </c>
      <c r="C3" s="8" t="s">
        <v>21</v>
      </c>
      <c r="D3" s="9">
        <f>D7+D11+D14+D19</f>
        <v>18245.061500000003</v>
      </c>
      <c r="E3" s="9">
        <f>E7+E11+E14+E19</f>
        <v>18245.061500000003</v>
      </c>
      <c r="F3" s="10">
        <f>E3/D3*100%</f>
        <v>1</v>
      </c>
      <c r="G3" s="10">
        <f t="shared" ref="G3:G64" si="0">E3/D3*100%</f>
        <v>1</v>
      </c>
      <c r="H3" s="11">
        <f>(H7*E7+H11*E11+H14*E14+H19*E19)/E3</f>
        <v>80</v>
      </c>
      <c r="I3" s="12"/>
      <c r="J3" s="12"/>
      <c r="K3" s="12"/>
      <c r="L3" s="13">
        <f>IF(SUM(M3:Y3)=SUM(M4:Y4),1,2)</f>
        <v>1</v>
      </c>
      <c r="M3" s="14" t="s">
        <v>22</v>
      </c>
      <c r="N3" s="15">
        <v>9</v>
      </c>
      <c r="O3" s="16">
        <v>5</v>
      </c>
      <c r="P3" s="17">
        <v>50.4</v>
      </c>
      <c r="Q3" s="17">
        <v>21</v>
      </c>
      <c r="R3" s="17">
        <v>130</v>
      </c>
    </row>
    <row r="4" spans="1:18" ht="27" customHeight="1" thickBot="1">
      <c r="A4" s="18"/>
      <c r="B4" s="584"/>
      <c r="C4" s="19" t="s">
        <v>23</v>
      </c>
      <c r="D4" s="20">
        <f>D8+D12+D15+D20</f>
        <v>12978.8475</v>
      </c>
      <c r="E4" s="20">
        <f>E8+E12+E15+E20</f>
        <v>12978.8475</v>
      </c>
      <c r="F4" s="21"/>
      <c r="G4" s="21"/>
      <c r="H4" s="22"/>
      <c r="I4" s="23"/>
      <c r="J4" s="23"/>
      <c r="K4" s="23"/>
      <c r="L4" s="24"/>
      <c r="M4" s="25" t="s">
        <v>24</v>
      </c>
      <c r="N4" s="26">
        <v>9</v>
      </c>
      <c r="O4" s="27">
        <v>5</v>
      </c>
      <c r="P4" s="17">
        <v>50.4</v>
      </c>
      <c r="Q4" s="28">
        <v>21</v>
      </c>
      <c r="R4" s="28">
        <v>130</v>
      </c>
    </row>
    <row r="5" spans="1:18" ht="31.5">
      <c r="A5" s="18"/>
      <c r="B5" s="584"/>
      <c r="C5" s="19" t="s">
        <v>25</v>
      </c>
      <c r="D5" s="19">
        <f>D9+D13+D16</f>
        <v>5050.2139999999999</v>
      </c>
      <c r="E5" s="19">
        <f>E9+E13+E16</f>
        <v>5050.2139999999999</v>
      </c>
      <c r="F5" s="21"/>
      <c r="G5" s="21"/>
      <c r="H5" s="22"/>
      <c r="I5" s="23"/>
      <c r="J5" s="23"/>
      <c r="K5" s="23"/>
      <c r="L5" s="24"/>
      <c r="N5" s="2"/>
      <c r="O5" s="3"/>
    </row>
    <row r="6" spans="1:18" ht="25.5" customHeight="1" thickBot="1">
      <c r="A6" s="29"/>
      <c r="B6" s="581"/>
      <c r="C6" s="30" t="s">
        <v>26</v>
      </c>
      <c r="D6" s="31">
        <f>D10+D17</f>
        <v>216</v>
      </c>
      <c r="E6" s="31">
        <f>E10+E17</f>
        <v>216</v>
      </c>
      <c r="F6" s="32"/>
      <c r="G6" s="32"/>
      <c r="H6" s="33"/>
      <c r="I6" s="34"/>
      <c r="J6" s="34"/>
      <c r="K6" s="34"/>
      <c r="L6" s="35"/>
      <c r="N6" s="2"/>
      <c r="O6" s="3"/>
    </row>
    <row r="7" spans="1:18" ht="45" customHeight="1">
      <c r="A7" s="36" t="s">
        <v>27</v>
      </c>
      <c r="B7" s="607" t="s">
        <v>28</v>
      </c>
      <c r="C7" s="37" t="s">
        <v>21</v>
      </c>
      <c r="D7" s="37">
        <f>D8+D9+D10</f>
        <v>10720.155050000001</v>
      </c>
      <c r="E7" s="37">
        <f>E8+E9+E10</f>
        <v>10720.155050000001</v>
      </c>
      <c r="F7" s="38">
        <f t="shared" ref="F7:F67" si="1">E7/D7*100%</f>
        <v>1</v>
      </c>
      <c r="G7" s="39">
        <f t="shared" si="0"/>
        <v>1</v>
      </c>
      <c r="H7" s="40">
        <f>J7+K7</f>
        <v>80</v>
      </c>
      <c r="I7" s="41">
        <f t="shared" ref="I7:I64" si="2">IF(G7=1,25,IF((G7&gt;0.9)*(G7&lt;1),0,IF((G7&gt;0.7)*(G7&lt;0.9),-10,-25)))</f>
        <v>25</v>
      </c>
      <c r="J7" s="42">
        <f>IF([1]!Таблица256[[#This Row],[% экономии при выполнении программ/подпрограмм]],20,0)</f>
        <v>20</v>
      </c>
      <c r="K7" s="42">
        <f>IF(L7=1,60,10)</f>
        <v>60</v>
      </c>
      <c r="L7" s="43">
        <f>IF(SUM(M3:Y3)=SUM(M4:Y4),1,2)</f>
        <v>1</v>
      </c>
      <c r="N7" s="2"/>
      <c r="O7" s="3"/>
    </row>
    <row r="8" spans="1:18" ht="33">
      <c r="A8" s="44"/>
      <c r="B8" s="605"/>
      <c r="C8" s="45" t="s">
        <v>29</v>
      </c>
      <c r="D8" s="45">
        <v>6855.2790500000001</v>
      </c>
      <c r="E8" s="45">
        <v>6855.2790500000001</v>
      </c>
      <c r="F8" s="21"/>
      <c r="G8" s="46"/>
      <c r="H8" s="47"/>
      <c r="I8" s="23"/>
      <c r="J8" s="48"/>
      <c r="K8" s="48"/>
      <c r="L8" s="24"/>
      <c r="M8" s="49"/>
      <c r="N8" s="50"/>
      <c r="O8" s="51"/>
      <c r="P8" s="52"/>
      <c r="Q8" s="52"/>
    </row>
    <row r="9" spans="1:18" ht="33">
      <c r="A9" s="44"/>
      <c r="B9" s="605"/>
      <c r="C9" s="45" t="s">
        <v>25</v>
      </c>
      <c r="D9" s="45">
        <v>3664.8760000000002</v>
      </c>
      <c r="E9" s="45">
        <v>3664.8760000000002</v>
      </c>
      <c r="F9" s="21"/>
      <c r="G9" s="46"/>
      <c r="H9" s="47"/>
      <c r="I9" s="23"/>
      <c r="J9" s="48"/>
      <c r="K9" s="48"/>
      <c r="L9" s="24"/>
      <c r="M9" s="52"/>
      <c r="N9" s="50"/>
      <c r="O9" s="51"/>
      <c r="P9" s="52"/>
      <c r="Q9" s="52"/>
    </row>
    <row r="10" spans="1:18" ht="25.5" customHeight="1">
      <c r="A10" s="44"/>
      <c r="B10" s="605"/>
      <c r="C10" s="53" t="s">
        <v>26</v>
      </c>
      <c r="D10" s="45">
        <v>200</v>
      </c>
      <c r="E10" s="45">
        <v>200</v>
      </c>
      <c r="F10" s="21"/>
      <c r="G10" s="46"/>
      <c r="H10" s="47"/>
      <c r="I10" s="23"/>
      <c r="J10" s="48"/>
      <c r="K10" s="48"/>
      <c r="L10" s="24"/>
      <c r="M10" s="52"/>
      <c r="N10" s="50"/>
      <c r="O10" s="51"/>
      <c r="P10" s="52"/>
      <c r="Q10" s="52"/>
    </row>
    <row r="11" spans="1:18" ht="36.75" customHeight="1">
      <c r="A11" s="44" t="s">
        <v>30</v>
      </c>
      <c r="B11" s="605" t="s">
        <v>31</v>
      </c>
      <c r="C11" s="45" t="s">
        <v>21</v>
      </c>
      <c r="D11" s="45">
        <f>D12+D13</f>
        <v>2742.67</v>
      </c>
      <c r="E11" s="45">
        <f>E12+E13</f>
        <v>2742.67</v>
      </c>
      <c r="F11" s="21">
        <f t="shared" si="1"/>
        <v>1</v>
      </c>
      <c r="G11" s="46">
        <f t="shared" si="0"/>
        <v>1</v>
      </c>
      <c r="H11" s="47">
        <f>J11+K11</f>
        <v>80</v>
      </c>
      <c r="I11" s="23">
        <f t="shared" si="2"/>
        <v>25</v>
      </c>
      <c r="J11" s="48">
        <f>IF([1]!Таблица256[[#This Row],[% экономии при выполнении программ/подпрограмм]],20,0)</f>
        <v>20</v>
      </c>
      <c r="K11" s="48">
        <f>IF(L11=1,60,10)</f>
        <v>60</v>
      </c>
      <c r="L11" s="24">
        <f>IF(SUM(M3:Y3)=SUM(M4:Y4),1,2)</f>
        <v>1</v>
      </c>
      <c r="M11" s="49"/>
      <c r="N11" s="50"/>
      <c r="O11" s="51"/>
      <c r="P11" s="52"/>
      <c r="Q11" s="52"/>
    </row>
    <row r="12" spans="1:18" ht="33">
      <c r="A12" s="44"/>
      <c r="B12" s="605"/>
      <c r="C12" s="45" t="s">
        <v>29</v>
      </c>
      <c r="D12" s="54">
        <v>1858.8330000000001</v>
      </c>
      <c r="E12" s="54">
        <v>1858.8330000000001</v>
      </c>
      <c r="F12" s="21"/>
      <c r="G12" s="46"/>
      <c r="H12" s="47"/>
      <c r="I12" s="23"/>
      <c r="J12" s="48"/>
      <c r="K12" s="48"/>
      <c r="L12" s="24"/>
      <c r="N12" s="2"/>
      <c r="O12" s="3"/>
    </row>
    <row r="13" spans="1:18" ht="33">
      <c r="A13" s="44"/>
      <c r="B13" s="605"/>
      <c r="C13" s="45" t="s">
        <v>25</v>
      </c>
      <c r="D13" s="54">
        <v>883.83699999999999</v>
      </c>
      <c r="E13" s="54">
        <v>883.83699999999999</v>
      </c>
      <c r="F13" s="21"/>
      <c r="G13" s="46"/>
      <c r="H13" s="47"/>
      <c r="I13" s="23"/>
      <c r="J13" s="48"/>
      <c r="K13" s="48"/>
      <c r="L13" s="24"/>
      <c r="N13" s="2"/>
      <c r="O13" s="3"/>
    </row>
    <row r="14" spans="1:18" ht="33.75" customHeight="1">
      <c r="A14" s="44" t="s">
        <v>32</v>
      </c>
      <c r="B14" s="606" t="s">
        <v>33</v>
      </c>
      <c r="C14" s="45" t="s">
        <v>21</v>
      </c>
      <c r="D14" s="55">
        <f>D15+D16+D17</f>
        <v>4196.8560500000003</v>
      </c>
      <c r="E14" s="56">
        <f>E15+E16+E17</f>
        <v>4196.8560500000003</v>
      </c>
      <c r="F14" s="21">
        <f t="shared" si="1"/>
        <v>1</v>
      </c>
      <c r="G14" s="46">
        <f t="shared" si="0"/>
        <v>1</v>
      </c>
      <c r="H14" s="47">
        <f>J14+K14</f>
        <v>80</v>
      </c>
      <c r="I14" s="23">
        <f t="shared" si="2"/>
        <v>25</v>
      </c>
      <c r="J14" s="48">
        <f>IF([1]!Таблица256[[#This Row],[% экономии при выполнении программ/подпрограмм]],20,0)</f>
        <v>20</v>
      </c>
      <c r="K14" s="48">
        <f>IF(L14=1,60,10)</f>
        <v>60</v>
      </c>
      <c r="L14" s="24">
        <f>IF(SUM(M3:Y3)=SUM(M4:Y4),1,2)</f>
        <v>1</v>
      </c>
      <c r="N14" s="2"/>
      <c r="O14" s="3"/>
    </row>
    <row r="15" spans="1:18" ht="27" customHeight="1">
      <c r="A15" s="44"/>
      <c r="B15" s="637"/>
      <c r="C15" s="45" t="s">
        <v>29</v>
      </c>
      <c r="D15" s="53">
        <v>3679.3550500000001</v>
      </c>
      <c r="E15" s="53">
        <v>3679.3550500000001</v>
      </c>
      <c r="F15" s="21"/>
      <c r="G15" s="46"/>
      <c r="H15" s="47"/>
      <c r="I15" s="23"/>
      <c r="J15" s="48"/>
      <c r="K15" s="48"/>
      <c r="L15" s="24"/>
      <c r="N15" s="2"/>
      <c r="O15" s="3"/>
    </row>
    <row r="16" spans="1:18" ht="24" customHeight="1">
      <c r="A16" s="44"/>
      <c r="B16" s="637"/>
      <c r="C16" s="45" t="s">
        <v>25</v>
      </c>
      <c r="D16" s="53">
        <v>501.50099999999998</v>
      </c>
      <c r="E16" s="53">
        <v>501.50099999999998</v>
      </c>
      <c r="F16" s="21"/>
      <c r="G16" s="46"/>
      <c r="H16" s="47"/>
      <c r="I16" s="23"/>
      <c r="J16" s="48"/>
      <c r="K16" s="48"/>
      <c r="L16" s="24"/>
      <c r="N16" s="2"/>
      <c r="O16" s="3"/>
    </row>
    <row r="17" spans="1:24" ht="22.5" customHeight="1">
      <c r="A17" s="44" t="s">
        <v>34</v>
      </c>
      <c r="B17" s="637"/>
      <c r="C17" s="605" t="s">
        <v>35</v>
      </c>
      <c r="D17" s="638">
        <v>16</v>
      </c>
      <c r="E17" s="638">
        <v>16</v>
      </c>
      <c r="F17" s="21"/>
      <c r="G17" s="46"/>
      <c r="H17" s="47"/>
      <c r="I17" s="23"/>
      <c r="J17" s="48"/>
      <c r="K17" s="48"/>
      <c r="L17" s="24"/>
      <c r="N17" s="2"/>
      <c r="O17" s="3"/>
    </row>
    <row r="18" spans="1:24" ht="9" customHeight="1">
      <c r="A18" s="44"/>
      <c r="B18" s="607"/>
      <c r="C18" s="605"/>
      <c r="D18" s="639"/>
      <c r="E18" s="639"/>
      <c r="F18" s="21"/>
      <c r="G18" s="46"/>
      <c r="H18" s="57"/>
      <c r="I18" s="23"/>
      <c r="J18" s="48"/>
      <c r="K18" s="48"/>
      <c r="L18" s="24"/>
      <c r="N18" s="2"/>
      <c r="O18" s="3"/>
    </row>
    <row r="19" spans="1:24" ht="32.25" customHeight="1">
      <c r="A19" s="44" t="s">
        <v>36</v>
      </c>
      <c r="B19" s="605" t="s">
        <v>37</v>
      </c>
      <c r="C19" s="45" t="s">
        <v>21</v>
      </c>
      <c r="D19" s="45">
        <f>D20</f>
        <v>585.38040000000001</v>
      </c>
      <c r="E19" s="45">
        <f>E20</f>
        <v>585.38040000000001</v>
      </c>
      <c r="F19" s="21">
        <f t="shared" si="1"/>
        <v>1</v>
      </c>
      <c r="G19" s="46">
        <f t="shared" si="0"/>
        <v>1</v>
      </c>
      <c r="H19" s="47">
        <f>J19+K19</f>
        <v>80</v>
      </c>
      <c r="I19" s="23">
        <f t="shared" si="2"/>
        <v>25</v>
      </c>
      <c r="J19" s="48">
        <f>IF([1]!Таблица256[[#This Row],[% экономии при выполнении программ/подпрограмм]],20,0)</f>
        <v>20</v>
      </c>
      <c r="K19" s="48">
        <f>IF(L19=1,60,10)</f>
        <v>60</v>
      </c>
      <c r="L19" s="24">
        <f>IF(SUM(M3:Y3)=SUM(M4:Y4),1,2)</f>
        <v>1</v>
      </c>
      <c r="N19" s="2"/>
      <c r="O19" s="3"/>
    </row>
    <row r="20" spans="1:24" ht="33">
      <c r="A20" s="44"/>
      <c r="B20" s="605"/>
      <c r="C20" s="45" t="s">
        <v>29</v>
      </c>
      <c r="D20" s="53">
        <v>585.38040000000001</v>
      </c>
      <c r="E20" s="53">
        <v>585.38040000000001</v>
      </c>
      <c r="F20" s="21"/>
      <c r="G20" s="46"/>
      <c r="H20" s="47"/>
      <c r="I20" s="23"/>
      <c r="J20" s="48"/>
      <c r="K20" s="48"/>
      <c r="L20" s="24"/>
      <c r="N20" s="2"/>
      <c r="O20" s="3"/>
    </row>
    <row r="21" spans="1:24" ht="21.75" customHeight="1" thickBot="1">
      <c r="A21" s="44"/>
      <c r="B21" s="606"/>
      <c r="C21" s="58" t="s">
        <v>26</v>
      </c>
      <c r="D21" s="58"/>
      <c r="E21" s="58"/>
      <c r="F21" s="59"/>
      <c r="G21" s="60"/>
      <c r="H21" s="61"/>
      <c r="I21" s="62"/>
      <c r="J21" s="63"/>
      <c r="K21" s="63"/>
      <c r="L21" s="64"/>
      <c r="N21" s="2"/>
      <c r="O21" s="3"/>
    </row>
    <row r="22" spans="1:24" ht="127.5" customHeight="1" thickBot="1">
      <c r="A22" s="65">
        <v>2</v>
      </c>
      <c r="B22" s="634" t="s">
        <v>38</v>
      </c>
      <c r="C22" s="8" t="s">
        <v>21</v>
      </c>
      <c r="D22" s="8">
        <f>D28+D30+D33+D35</f>
        <v>7526.7057800000002</v>
      </c>
      <c r="E22" s="8">
        <f>E28+E30+E33+E35</f>
        <v>7526.7057800000002</v>
      </c>
      <c r="F22" s="10">
        <f t="shared" si="1"/>
        <v>1</v>
      </c>
      <c r="G22" s="10">
        <f t="shared" si="0"/>
        <v>1</v>
      </c>
      <c r="H22" s="66">
        <f>(H28*E28+H30*E30+H33*E33+H35*E35)/E22</f>
        <v>83.424860855926795</v>
      </c>
      <c r="I22" s="12"/>
      <c r="J22" s="12"/>
      <c r="K22" s="12"/>
      <c r="L22" s="13">
        <f>IF(SUM(M23:Y23)=SUM(M24:Y24),1,2)</f>
        <v>1</v>
      </c>
      <c r="M22" s="67" t="s">
        <v>14</v>
      </c>
      <c r="N22" s="68" t="s">
        <v>39</v>
      </c>
      <c r="O22" s="69" t="s">
        <v>40</v>
      </c>
      <c r="P22" s="69" t="s">
        <v>41</v>
      </c>
      <c r="Q22" s="69" t="s">
        <v>42</v>
      </c>
      <c r="R22" s="69" t="s">
        <v>43</v>
      </c>
      <c r="S22" s="69" t="s">
        <v>44</v>
      </c>
      <c r="T22" s="69" t="s">
        <v>45</v>
      </c>
      <c r="U22" s="69" t="s">
        <v>46</v>
      </c>
      <c r="V22" s="69" t="s">
        <v>47</v>
      </c>
      <c r="W22" s="69" t="s">
        <v>48</v>
      </c>
      <c r="X22" s="69" t="s">
        <v>49</v>
      </c>
    </row>
    <row r="23" spans="1:24" ht="31.5">
      <c r="A23" s="65"/>
      <c r="B23" s="635"/>
      <c r="C23" s="19" t="s">
        <v>23</v>
      </c>
      <c r="D23" s="19">
        <f>D29+D31+D34+D36</f>
        <v>5534.0206800000005</v>
      </c>
      <c r="E23" s="19">
        <f>E29+E31+E34+E36</f>
        <v>5534.0206800000005</v>
      </c>
      <c r="F23" s="21"/>
      <c r="G23" s="21"/>
      <c r="H23" s="22"/>
      <c r="I23" s="23"/>
      <c r="J23" s="23"/>
      <c r="K23" s="23"/>
      <c r="L23" s="24"/>
      <c r="M23" s="14" t="s">
        <v>22</v>
      </c>
      <c r="N23" s="15">
        <v>9</v>
      </c>
      <c r="O23" s="16">
        <v>20</v>
      </c>
      <c r="P23" s="17">
        <v>6</v>
      </c>
      <c r="Q23" s="17">
        <v>36</v>
      </c>
      <c r="R23" s="17">
        <v>1205</v>
      </c>
      <c r="S23" s="17">
        <v>3420</v>
      </c>
      <c r="T23" s="17">
        <v>88</v>
      </c>
      <c r="U23" s="17">
        <v>2</v>
      </c>
      <c r="V23" s="17">
        <v>2140</v>
      </c>
      <c r="W23" s="17">
        <v>70</v>
      </c>
      <c r="X23" s="17">
        <v>180</v>
      </c>
    </row>
    <row r="24" spans="1:24" ht="27" customHeight="1" thickBot="1">
      <c r="A24" s="65"/>
      <c r="B24" s="635"/>
      <c r="C24" s="19" t="s">
        <v>25</v>
      </c>
      <c r="D24" s="19">
        <f>D37</f>
        <v>452.27361000000002</v>
      </c>
      <c r="E24" s="19">
        <f>E37</f>
        <v>452.27361000000002</v>
      </c>
      <c r="F24" s="21"/>
      <c r="G24" s="70"/>
      <c r="H24" s="71"/>
      <c r="I24" s="23"/>
      <c r="J24" s="72"/>
      <c r="K24" s="72"/>
      <c r="L24" s="24"/>
      <c r="M24" s="25" t="s">
        <v>24</v>
      </c>
      <c r="N24" s="26">
        <v>9</v>
      </c>
      <c r="O24" s="27">
        <v>20</v>
      </c>
      <c r="P24" s="28">
        <v>6</v>
      </c>
      <c r="Q24" s="28">
        <v>36</v>
      </c>
      <c r="R24" s="28">
        <v>1205</v>
      </c>
      <c r="S24" s="28">
        <v>3420</v>
      </c>
      <c r="T24" s="28">
        <v>88</v>
      </c>
      <c r="U24" s="28">
        <v>2</v>
      </c>
      <c r="V24" s="28">
        <v>2140</v>
      </c>
      <c r="W24" s="28">
        <v>70</v>
      </c>
      <c r="X24" s="28">
        <v>180</v>
      </c>
    </row>
    <row r="25" spans="1:24" ht="31.5">
      <c r="A25" s="65"/>
      <c r="B25" s="635"/>
      <c r="C25" s="19" t="s">
        <v>50</v>
      </c>
      <c r="D25" s="73">
        <f>D38</f>
        <v>1035.91149</v>
      </c>
      <c r="E25" s="73">
        <f>E38</f>
        <v>1035.91149</v>
      </c>
      <c r="F25" s="21"/>
      <c r="G25" s="74"/>
      <c r="H25" s="75"/>
      <c r="I25" s="23"/>
      <c r="J25" s="76"/>
      <c r="K25" s="76"/>
      <c r="L25" s="24"/>
      <c r="N25" s="2"/>
      <c r="O25" s="3"/>
    </row>
    <row r="26" spans="1:24" ht="13.5" customHeight="1">
      <c r="A26" s="65"/>
      <c r="B26" s="635"/>
      <c r="C26" s="584" t="s">
        <v>26</v>
      </c>
      <c r="D26" s="19">
        <f>D32</f>
        <v>504.5</v>
      </c>
      <c r="E26" s="19">
        <f>E32</f>
        <v>504.5</v>
      </c>
      <c r="F26" s="21"/>
      <c r="G26" s="46"/>
      <c r="H26" s="47"/>
      <c r="I26" s="23"/>
      <c r="J26" s="48"/>
      <c r="K26" s="48"/>
      <c r="L26" s="24"/>
      <c r="N26" s="2"/>
      <c r="O26" s="3"/>
    </row>
    <row r="27" spans="1:24" ht="17.25" thickBot="1">
      <c r="A27" s="65"/>
      <c r="B27" s="636"/>
      <c r="C27" s="581"/>
      <c r="D27" s="77"/>
      <c r="E27" s="77"/>
      <c r="F27" s="32"/>
      <c r="G27" s="78"/>
      <c r="H27" s="79"/>
      <c r="I27" s="34"/>
      <c r="J27" s="80"/>
      <c r="K27" s="80"/>
      <c r="L27" s="35"/>
      <c r="N27" s="2"/>
      <c r="O27" s="3"/>
    </row>
    <row r="28" spans="1:24" ht="31.5" customHeight="1">
      <c r="A28" s="44" t="s">
        <v>51</v>
      </c>
      <c r="B28" s="607" t="s">
        <v>52</v>
      </c>
      <c r="C28" s="81" t="s">
        <v>21</v>
      </c>
      <c r="D28" s="37">
        <f>D29</f>
        <v>234.7</v>
      </c>
      <c r="E28" s="37">
        <f>E29</f>
        <v>234.7</v>
      </c>
      <c r="F28" s="38">
        <f t="shared" si="1"/>
        <v>1</v>
      </c>
      <c r="G28" s="39">
        <f t="shared" si="0"/>
        <v>1</v>
      </c>
      <c r="H28" s="40">
        <f>J28+K28</f>
        <v>80</v>
      </c>
      <c r="I28" s="41">
        <f t="shared" si="2"/>
        <v>25</v>
      </c>
      <c r="J28" s="42">
        <f>IF([1]!Таблица256[[#This Row],[% экономии при выполнении программ/подпрограмм]],20,0)</f>
        <v>20</v>
      </c>
      <c r="K28" s="42">
        <f>IF(L28=1,60,10)</f>
        <v>60</v>
      </c>
      <c r="L28" s="43">
        <f>IF(SUM(M23:Y23)=SUM(M24:Y24),1,2)</f>
        <v>1</v>
      </c>
      <c r="N28" s="2"/>
      <c r="O28" s="3"/>
    </row>
    <row r="29" spans="1:24" ht="31.5">
      <c r="A29" s="44"/>
      <c r="B29" s="605"/>
      <c r="C29" s="53" t="s">
        <v>23</v>
      </c>
      <c r="D29" s="45">
        <v>234.7</v>
      </c>
      <c r="E29" s="45">
        <v>234.7</v>
      </c>
      <c r="F29" s="21"/>
      <c r="G29" s="46"/>
      <c r="H29" s="47"/>
      <c r="I29" s="23"/>
      <c r="J29" s="48"/>
      <c r="K29" s="48"/>
      <c r="L29" s="24"/>
      <c r="N29" s="2"/>
      <c r="O29" s="3"/>
    </row>
    <row r="30" spans="1:24" ht="35.25" customHeight="1">
      <c r="A30" s="44" t="s">
        <v>53</v>
      </c>
      <c r="B30" s="605" t="s">
        <v>54</v>
      </c>
      <c r="C30" s="53" t="s">
        <v>21</v>
      </c>
      <c r="D30" s="45">
        <f>D31+D32</f>
        <v>4407.1769999999997</v>
      </c>
      <c r="E30" s="45">
        <f>E31+E32</f>
        <v>4407.1769999999997</v>
      </c>
      <c r="F30" s="21">
        <f t="shared" si="1"/>
        <v>1</v>
      </c>
      <c r="G30" s="46">
        <f t="shared" si="0"/>
        <v>1</v>
      </c>
      <c r="H30" s="47">
        <f>J30+K30</f>
        <v>80</v>
      </c>
      <c r="I30" s="23">
        <f t="shared" si="2"/>
        <v>25</v>
      </c>
      <c r="J30" s="48">
        <f>IF([1]!Таблица256[[#This Row],[% экономии при выполнении программ/подпрограмм]],20,0)</f>
        <v>20</v>
      </c>
      <c r="K30" s="48">
        <f>IF(L30=1,60,10)</f>
        <v>60</v>
      </c>
      <c r="L30" s="24">
        <f>IF(SUM(M23:Y23)=SUM(M24:Y24),1,2)</f>
        <v>1</v>
      </c>
      <c r="N30" s="2"/>
      <c r="O30" s="3"/>
    </row>
    <row r="31" spans="1:24" ht="31.5">
      <c r="A31" s="44"/>
      <c r="B31" s="605"/>
      <c r="C31" s="53" t="s">
        <v>23</v>
      </c>
      <c r="D31" s="45">
        <v>3902.6770000000001</v>
      </c>
      <c r="E31" s="45">
        <v>3902.6770000000001</v>
      </c>
      <c r="F31" s="21"/>
      <c r="G31" s="46"/>
      <c r="H31" s="47"/>
      <c r="I31" s="23"/>
      <c r="J31" s="48"/>
      <c r="K31" s="48"/>
      <c r="L31" s="24"/>
      <c r="N31" s="2"/>
      <c r="O31" s="3"/>
    </row>
    <row r="32" spans="1:24" ht="31.5">
      <c r="A32" s="44"/>
      <c r="B32" s="605"/>
      <c r="C32" s="53" t="s">
        <v>26</v>
      </c>
      <c r="D32" s="45">
        <v>504.5</v>
      </c>
      <c r="E32" s="45">
        <v>504.5</v>
      </c>
      <c r="F32" s="21"/>
      <c r="G32" s="46"/>
      <c r="H32" s="47"/>
      <c r="I32" s="23"/>
      <c r="J32" s="48"/>
      <c r="K32" s="48"/>
      <c r="L32" s="24"/>
      <c r="N32" s="2"/>
      <c r="O32" s="3"/>
    </row>
    <row r="33" spans="1:17" ht="42" customHeight="1">
      <c r="A33" s="44" t="s">
        <v>55</v>
      </c>
      <c r="B33" s="605" t="s">
        <v>56</v>
      </c>
      <c r="C33" s="53" t="s">
        <v>21</v>
      </c>
      <c r="D33" s="45">
        <f>D34</f>
        <v>307.03678000000002</v>
      </c>
      <c r="E33" s="45">
        <f>E34</f>
        <v>307.03678000000002</v>
      </c>
      <c r="F33" s="21">
        <f t="shared" si="1"/>
        <v>1</v>
      </c>
      <c r="G33" s="46">
        <f t="shared" si="0"/>
        <v>1</v>
      </c>
      <c r="H33" s="47">
        <f>J33+K33</f>
        <v>80</v>
      </c>
      <c r="I33" s="23">
        <f t="shared" si="2"/>
        <v>25</v>
      </c>
      <c r="J33" s="48">
        <f>IF([1]!Таблица256[[#This Row],[% экономии при выполнении программ/подпрограмм]],20,0)</f>
        <v>20</v>
      </c>
      <c r="K33" s="48">
        <f>IF(L33=1,60,10)</f>
        <v>60</v>
      </c>
      <c r="L33" s="24">
        <f>IF(SUM(M24:Y24)=SUM(M23:Y23),1,2)</f>
        <v>1</v>
      </c>
      <c r="N33" s="2"/>
      <c r="O33" s="3"/>
    </row>
    <row r="34" spans="1:17" ht="31.5">
      <c r="A34" s="44"/>
      <c r="B34" s="605"/>
      <c r="C34" s="53" t="s">
        <v>23</v>
      </c>
      <c r="D34" s="45">
        <v>307.03678000000002</v>
      </c>
      <c r="E34" s="45">
        <v>307.03678000000002</v>
      </c>
      <c r="F34" s="21"/>
      <c r="G34" s="46"/>
      <c r="H34" s="47"/>
      <c r="I34" s="23"/>
      <c r="J34" s="48"/>
      <c r="K34" s="48"/>
      <c r="L34" s="24"/>
      <c r="N34" s="2"/>
      <c r="O34" s="3"/>
    </row>
    <row r="35" spans="1:17" ht="32.25" customHeight="1">
      <c r="A35" s="44" t="s">
        <v>57</v>
      </c>
      <c r="B35" s="605" t="s">
        <v>58</v>
      </c>
      <c r="C35" s="53" t="s">
        <v>21</v>
      </c>
      <c r="D35" s="45">
        <f>D36+D37+D38</f>
        <v>2577.7919999999999</v>
      </c>
      <c r="E35" s="45">
        <f>E36+E37+E38</f>
        <v>2577.7919999999999</v>
      </c>
      <c r="F35" s="21">
        <f t="shared" si="1"/>
        <v>1</v>
      </c>
      <c r="G35" s="46">
        <f t="shared" si="0"/>
        <v>1</v>
      </c>
      <c r="H35" s="47">
        <f>I35+J35+K35</f>
        <v>90</v>
      </c>
      <c r="I35" s="23">
        <f t="shared" si="2"/>
        <v>25</v>
      </c>
      <c r="J35" s="48">
        <f>IF([1]!Таблица256[[#This Row],[% экономии при выполнении программ/подпрограмм]],10,0)</f>
        <v>10</v>
      </c>
      <c r="K35" s="48">
        <f>IF(L35=1,55,10)</f>
        <v>55</v>
      </c>
      <c r="L35" s="24">
        <f>IF(SUM(M23:Y23)=SUM(M24:Y24),1,2)</f>
        <v>1</v>
      </c>
      <c r="N35" s="2"/>
      <c r="O35" s="3"/>
    </row>
    <row r="36" spans="1:17" ht="31.5">
      <c r="A36" s="44"/>
      <c r="B36" s="605"/>
      <c r="C36" s="53" t="s">
        <v>23</v>
      </c>
      <c r="D36" s="45">
        <v>1089.6069</v>
      </c>
      <c r="E36" s="45">
        <v>1089.6069</v>
      </c>
      <c r="F36" s="21"/>
      <c r="G36" s="46"/>
      <c r="H36" s="47"/>
      <c r="I36" s="23"/>
      <c r="J36" s="48"/>
      <c r="K36" s="48"/>
      <c r="L36" s="24"/>
      <c r="N36" s="2"/>
      <c r="O36" s="3"/>
    </row>
    <row r="37" spans="1:17" ht="31.5">
      <c r="A37" s="44"/>
      <c r="B37" s="605"/>
      <c r="C37" s="53" t="s">
        <v>25</v>
      </c>
      <c r="D37" s="45">
        <v>452.27361000000002</v>
      </c>
      <c r="E37" s="45">
        <v>452.27361000000002</v>
      </c>
      <c r="F37" s="21"/>
      <c r="G37" s="46"/>
      <c r="H37" s="47"/>
      <c r="I37" s="23"/>
      <c r="J37" s="48"/>
      <c r="K37" s="48"/>
      <c r="L37" s="24"/>
      <c r="N37" s="2"/>
      <c r="O37" s="3"/>
    </row>
    <row r="38" spans="1:17" ht="31.5">
      <c r="A38" s="44"/>
      <c r="B38" s="605"/>
      <c r="C38" s="53" t="s">
        <v>50</v>
      </c>
      <c r="D38" s="45">
        <v>1035.91149</v>
      </c>
      <c r="E38" s="45">
        <v>1035.91149</v>
      </c>
      <c r="F38" s="21"/>
      <c r="G38" s="46"/>
      <c r="H38" s="47"/>
      <c r="I38" s="23"/>
      <c r="J38" s="48"/>
      <c r="K38" s="48"/>
      <c r="L38" s="24"/>
      <c r="N38" s="2"/>
      <c r="O38" s="3"/>
    </row>
    <row r="39" spans="1:17" ht="57.75" customHeight="1">
      <c r="A39" s="44" t="s">
        <v>59</v>
      </c>
      <c r="B39" s="609" t="s">
        <v>60</v>
      </c>
      <c r="C39" s="82" t="s">
        <v>21</v>
      </c>
      <c r="D39" s="629" t="s">
        <v>61</v>
      </c>
      <c r="E39" s="620"/>
      <c r="F39" s="620"/>
      <c r="G39" s="620"/>
      <c r="H39" s="620"/>
      <c r="I39" s="620"/>
      <c r="J39" s="620"/>
      <c r="K39" s="620"/>
      <c r="L39" s="621"/>
      <c r="N39" s="2"/>
      <c r="O39" s="3"/>
    </row>
    <row r="40" spans="1:17" ht="42" customHeight="1" thickBot="1">
      <c r="A40" s="44"/>
      <c r="B40" s="609"/>
      <c r="C40" s="82" t="s">
        <v>23</v>
      </c>
      <c r="D40" s="630"/>
      <c r="E40" s="631"/>
      <c r="F40" s="631"/>
      <c r="G40" s="631"/>
      <c r="H40" s="631"/>
      <c r="I40" s="631"/>
      <c r="J40" s="631"/>
      <c r="K40" s="631"/>
      <c r="L40" s="632"/>
      <c r="N40" s="2"/>
      <c r="O40" s="3"/>
    </row>
    <row r="41" spans="1:17" ht="16.5">
      <c r="A41" s="44" t="s">
        <v>62</v>
      </c>
      <c r="B41" s="609" t="s">
        <v>63</v>
      </c>
      <c r="C41" s="82" t="s">
        <v>21</v>
      </c>
      <c r="D41" s="629" t="s">
        <v>61</v>
      </c>
      <c r="E41" s="620"/>
      <c r="F41" s="620"/>
      <c r="G41" s="620"/>
      <c r="H41" s="620"/>
      <c r="I41" s="620"/>
      <c r="J41" s="620"/>
      <c r="K41" s="620"/>
      <c r="L41" s="621"/>
      <c r="N41" s="2"/>
      <c r="O41" s="3"/>
    </row>
    <row r="42" spans="1:17" ht="32.25" thickBot="1">
      <c r="A42" s="83"/>
      <c r="B42" s="633"/>
      <c r="C42" s="84" t="s">
        <v>23</v>
      </c>
      <c r="D42" s="630"/>
      <c r="E42" s="631"/>
      <c r="F42" s="631"/>
      <c r="G42" s="631"/>
      <c r="H42" s="631"/>
      <c r="I42" s="631"/>
      <c r="J42" s="631"/>
      <c r="K42" s="631"/>
      <c r="L42" s="632"/>
      <c r="N42" s="2"/>
      <c r="O42" s="3"/>
    </row>
    <row r="43" spans="1:17" ht="48" thickBot="1">
      <c r="A43" s="7">
        <v>3</v>
      </c>
      <c r="B43" s="580" t="s">
        <v>64</v>
      </c>
      <c r="C43" s="8" t="s">
        <v>21</v>
      </c>
      <c r="D43" s="8">
        <f>D45+D47+D51+D53</f>
        <v>2031.16013</v>
      </c>
      <c r="E43" s="8">
        <f>E45+E47+E49+E51+E53</f>
        <v>2031.16013</v>
      </c>
      <c r="F43" s="10">
        <f t="shared" si="1"/>
        <v>1</v>
      </c>
      <c r="G43" s="10">
        <f t="shared" si="0"/>
        <v>1</v>
      </c>
      <c r="H43" s="85">
        <f>(H45*E45+H47*E47+H51*E51+H53*E53)/[1]!Таблица256[[#This Row],[Кассовые расходы ]]</f>
        <v>90.000000000000014</v>
      </c>
      <c r="I43" s="12"/>
      <c r="J43" s="12"/>
      <c r="K43" s="12"/>
      <c r="L43" s="13">
        <f>IF(SUM(M44:Y44)=SUM(M45:Y45),1,IF(SUM(M44:Y44)&lt;SUM(M45:Y45),1,2))</f>
        <v>1</v>
      </c>
      <c r="M43" s="67" t="s">
        <v>14</v>
      </c>
      <c r="N43" s="86" t="s">
        <v>65</v>
      </c>
      <c r="O43" s="87" t="s">
        <v>66</v>
      </c>
      <c r="P43" s="87" t="s">
        <v>67</v>
      </c>
      <c r="Q43" s="88" t="s">
        <v>68</v>
      </c>
    </row>
    <row r="44" spans="1:17" ht="32.25" thickBot="1">
      <c r="A44" s="29"/>
      <c r="B44" s="581"/>
      <c r="C44" s="30" t="s">
        <v>23</v>
      </c>
      <c r="D44" s="30">
        <f>D46+D48+D50+D52+D54</f>
        <v>2031.16013</v>
      </c>
      <c r="E44" s="30">
        <f>E46+E48+E50+E52+E54</f>
        <v>2031.16013</v>
      </c>
      <c r="F44" s="32">
        <f t="shared" si="1"/>
        <v>1</v>
      </c>
      <c r="G44" s="32">
        <f t="shared" si="0"/>
        <v>1</v>
      </c>
      <c r="H44" s="33"/>
      <c r="I44" s="34"/>
      <c r="J44" s="34"/>
      <c r="K44" s="34"/>
      <c r="L44" s="13"/>
      <c r="M44" s="89" t="s">
        <v>22</v>
      </c>
      <c r="N44" s="90">
        <v>1.7</v>
      </c>
      <c r="O44" s="16">
        <v>17</v>
      </c>
      <c r="P44" s="17">
        <v>1</v>
      </c>
      <c r="Q44" s="17">
        <v>28</v>
      </c>
    </row>
    <row r="45" spans="1:17" ht="39.75" customHeight="1" thickBot="1">
      <c r="A45" s="36" t="s">
        <v>69</v>
      </c>
      <c r="B45" s="607" t="s">
        <v>70</v>
      </c>
      <c r="C45" s="81" t="s">
        <v>21</v>
      </c>
      <c r="D45" s="37">
        <f>D46</f>
        <v>305.52749999999997</v>
      </c>
      <c r="E45" s="37">
        <f>E46</f>
        <v>305.52749999999997</v>
      </c>
      <c r="F45" s="38">
        <f t="shared" si="1"/>
        <v>1</v>
      </c>
      <c r="G45" s="39">
        <f t="shared" si="0"/>
        <v>1</v>
      </c>
      <c r="H45" s="40">
        <f>I45+J45+K45</f>
        <v>90</v>
      </c>
      <c r="I45" s="41">
        <f t="shared" si="2"/>
        <v>25</v>
      </c>
      <c r="J45" s="42">
        <f>IF([1]!Таблица256[[#This Row],[% экономии при выполнении программ/подпрограмм]],10,0)</f>
        <v>10</v>
      </c>
      <c r="K45" s="42">
        <f t="shared" ref="K45:K64" si="3">IF(L45=1,55,10)</f>
        <v>55</v>
      </c>
      <c r="L45" s="13">
        <f t="shared" ref="L45:L47" si="4">IF(SUM(M46:Y46)=SUM(M47:Y47),1,IF(SUM(M46:Y46)&lt;SUM(M47:Y47),1,2))</f>
        <v>1</v>
      </c>
      <c r="M45" s="91" t="s">
        <v>24</v>
      </c>
      <c r="N45" s="92">
        <v>1.7</v>
      </c>
      <c r="O45" s="27">
        <v>17</v>
      </c>
      <c r="P45" s="28">
        <v>1</v>
      </c>
      <c r="Q45" s="28">
        <v>30</v>
      </c>
    </row>
    <row r="46" spans="1:17" ht="41.25" customHeight="1" thickBot="1">
      <c r="A46" s="44"/>
      <c r="B46" s="605"/>
      <c r="C46" s="53" t="s">
        <v>23</v>
      </c>
      <c r="D46" s="54">
        <v>305.52749999999997</v>
      </c>
      <c r="E46" s="54">
        <v>305.52749999999997</v>
      </c>
      <c r="F46" s="21"/>
      <c r="G46" s="46"/>
      <c r="H46" s="47"/>
      <c r="I46" s="23"/>
      <c r="J46" s="48"/>
      <c r="K46" s="48"/>
      <c r="L46" s="13"/>
      <c r="N46" s="2"/>
      <c r="O46" s="3"/>
    </row>
    <row r="47" spans="1:17" ht="42" customHeight="1">
      <c r="A47" s="44" t="s">
        <v>71</v>
      </c>
      <c r="B47" s="605" t="s">
        <v>72</v>
      </c>
      <c r="C47" s="53" t="s">
        <v>21</v>
      </c>
      <c r="D47" s="53">
        <f>D48</f>
        <v>1617.8346300000001</v>
      </c>
      <c r="E47" s="53">
        <f>E48</f>
        <v>1617.8346300000001</v>
      </c>
      <c r="F47" s="21">
        <f t="shared" si="1"/>
        <v>1</v>
      </c>
      <c r="G47" s="46">
        <f t="shared" si="0"/>
        <v>1</v>
      </c>
      <c r="H47" s="47">
        <f>I47+J47+K47</f>
        <v>90</v>
      </c>
      <c r="I47" s="23">
        <f t="shared" si="2"/>
        <v>25</v>
      </c>
      <c r="J47" s="48">
        <f>IF([1]!Таблица256[[#This Row],[% экономии при выполнении программ/подпрограмм]],10,0)</f>
        <v>10</v>
      </c>
      <c r="K47" s="48">
        <f t="shared" si="3"/>
        <v>55</v>
      </c>
      <c r="L47" s="13">
        <f t="shared" si="4"/>
        <v>1</v>
      </c>
      <c r="N47" s="2"/>
      <c r="O47" s="3"/>
    </row>
    <row r="48" spans="1:17" ht="31.5">
      <c r="A48" s="44"/>
      <c r="B48" s="605"/>
      <c r="C48" s="53" t="s">
        <v>23</v>
      </c>
      <c r="D48" s="53">
        <v>1617.8346300000001</v>
      </c>
      <c r="E48" s="53">
        <v>1617.8346300000001</v>
      </c>
      <c r="F48" s="21"/>
      <c r="G48" s="46"/>
      <c r="H48" s="47"/>
      <c r="I48" s="23"/>
      <c r="J48" s="48"/>
      <c r="K48" s="48"/>
      <c r="L48" s="24"/>
      <c r="N48" s="2"/>
      <c r="O48" s="3"/>
    </row>
    <row r="49" spans="1:28" ht="61.5" customHeight="1">
      <c r="A49" s="44" t="s">
        <v>73</v>
      </c>
      <c r="B49" s="609" t="s">
        <v>74</v>
      </c>
      <c r="C49" s="82" t="s">
        <v>21</v>
      </c>
      <c r="D49" s="619" t="s">
        <v>61</v>
      </c>
      <c r="E49" s="620"/>
      <c r="F49" s="620"/>
      <c r="G49" s="620"/>
      <c r="H49" s="620"/>
      <c r="I49" s="620"/>
      <c r="J49" s="620"/>
      <c r="K49" s="620"/>
      <c r="L49" s="621"/>
      <c r="N49" s="2"/>
      <c r="O49" s="3"/>
    </row>
    <row r="50" spans="1:28" ht="32.25" thickBot="1">
      <c r="A50" s="44"/>
      <c r="B50" s="609"/>
      <c r="C50" s="82" t="s">
        <v>23</v>
      </c>
      <c r="D50" s="622"/>
      <c r="E50" s="623"/>
      <c r="F50" s="623"/>
      <c r="G50" s="623"/>
      <c r="H50" s="623"/>
      <c r="I50" s="623"/>
      <c r="J50" s="623"/>
      <c r="K50" s="623"/>
      <c r="L50" s="624"/>
      <c r="N50" s="2"/>
      <c r="O50" s="3"/>
    </row>
    <row r="51" spans="1:28" ht="47.25" customHeight="1" thickBot="1">
      <c r="A51" s="44" t="s">
        <v>75</v>
      </c>
      <c r="B51" s="625" t="s">
        <v>76</v>
      </c>
      <c r="C51" s="53" t="s">
        <v>21</v>
      </c>
      <c r="D51" s="53">
        <f>D52</f>
        <v>33.798000000000002</v>
      </c>
      <c r="E51" s="53">
        <f>E52</f>
        <v>33.798000000000002</v>
      </c>
      <c r="F51" s="21">
        <f t="shared" si="1"/>
        <v>1</v>
      </c>
      <c r="G51" s="70">
        <f t="shared" si="0"/>
        <v>1</v>
      </c>
      <c r="H51" s="47">
        <f>I51+J51+K51</f>
        <v>90</v>
      </c>
      <c r="I51" s="23">
        <f t="shared" si="2"/>
        <v>25</v>
      </c>
      <c r="J51" s="72">
        <f>IF([1]!Таблица256[[#This Row],[% экономии при выполнении программ/подпрограмм]],10,0)</f>
        <v>10</v>
      </c>
      <c r="K51" s="72">
        <f t="shared" si="3"/>
        <v>55</v>
      </c>
      <c r="L51" s="13">
        <f t="shared" ref="L51:L53" si="5">IF(SUM(M52:Y52)=SUM(M53:Y53),1,IF(SUM(M52:Y52)&lt;SUM(M53:Y53),1,2))</f>
        <v>1</v>
      </c>
      <c r="N51" s="2"/>
      <c r="O51" s="3"/>
    </row>
    <row r="52" spans="1:28" ht="44.25" customHeight="1" thickBot="1">
      <c r="A52" s="44"/>
      <c r="B52" s="625"/>
      <c r="C52" s="53" t="s">
        <v>23</v>
      </c>
      <c r="D52" s="54">
        <v>33.798000000000002</v>
      </c>
      <c r="E52" s="54">
        <v>33.798000000000002</v>
      </c>
      <c r="F52" s="21"/>
      <c r="G52" s="70"/>
      <c r="H52" s="47"/>
      <c r="I52" s="23"/>
      <c r="J52" s="72"/>
      <c r="K52" s="72"/>
      <c r="L52" s="13"/>
      <c r="N52" s="2"/>
      <c r="O52" s="3"/>
    </row>
    <row r="53" spans="1:28" ht="44.25" customHeight="1">
      <c r="A53" s="44" t="s">
        <v>77</v>
      </c>
      <c r="B53" s="605" t="s">
        <v>78</v>
      </c>
      <c r="C53" s="53" t="s">
        <v>21</v>
      </c>
      <c r="D53" s="53">
        <f>D54</f>
        <v>74</v>
      </c>
      <c r="E53" s="53">
        <f>E54</f>
        <v>74</v>
      </c>
      <c r="F53" s="21">
        <f t="shared" si="1"/>
        <v>1</v>
      </c>
      <c r="G53" s="70">
        <f t="shared" si="0"/>
        <v>1</v>
      </c>
      <c r="H53" s="47">
        <f>I53+J53+K53</f>
        <v>90</v>
      </c>
      <c r="I53" s="23">
        <f t="shared" si="2"/>
        <v>25</v>
      </c>
      <c r="J53" s="72">
        <f>IF([1]!Таблица256[[#This Row],[% экономии при выполнении программ/подпрограмм]],10,0)</f>
        <v>10</v>
      </c>
      <c r="K53" s="72">
        <f t="shared" si="3"/>
        <v>55</v>
      </c>
      <c r="L53" s="13">
        <f t="shared" si="5"/>
        <v>1</v>
      </c>
      <c r="N53" s="2"/>
      <c r="O53" s="3"/>
    </row>
    <row r="54" spans="1:28" ht="50.25" customHeight="1">
      <c r="A54" s="44"/>
      <c r="B54" s="605"/>
      <c r="C54" s="53" t="s">
        <v>23</v>
      </c>
      <c r="D54" s="54">
        <v>74</v>
      </c>
      <c r="E54" s="54">
        <v>74</v>
      </c>
      <c r="F54" s="21"/>
      <c r="G54" s="70"/>
      <c r="H54" s="47"/>
      <c r="I54" s="23"/>
      <c r="J54" s="72"/>
      <c r="K54" s="72"/>
      <c r="L54" s="24"/>
      <c r="N54" s="2"/>
      <c r="O54" s="3"/>
    </row>
    <row r="55" spans="1:28" ht="17.25" thickBot="1">
      <c r="A55" s="93"/>
      <c r="B55" s="606"/>
      <c r="C55" s="94"/>
      <c r="D55" s="94"/>
      <c r="E55" s="94"/>
      <c r="F55" s="59"/>
      <c r="G55" s="95"/>
      <c r="H55" s="96"/>
      <c r="I55" s="62"/>
      <c r="J55" s="97"/>
      <c r="K55" s="97"/>
      <c r="L55" s="64"/>
      <c r="N55" s="2"/>
      <c r="O55" s="3"/>
    </row>
    <row r="56" spans="1:28" ht="36.75" customHeight="1">
      <c r="A56" s="7">
        <v>4</v>
      </c>
      <c r="B56" s="626" t="s">
        <v>79</v>
      </c>
      <c r="C56" s="8" t="s">
        <v>21</v>
      </c>
      <c r="D56" s="98">
        <f>D61+D64+D67+D71+D74+D78+D83+D86+D88</f>
        <v>163891.20000000001</v>
      </c>
      <c r="E56" s="98">
        <f>E61+E64+E67+E71+E74+E78+E83+E86+E88</f>
        <v>163891.20000000001</v>
      </c>
      <c r="F56" s="10">
        <f t="shared" si="1"/>
        <v>1</v>
      </c>
      <c r="G56" s="10">
        <f t="shared" si="0"/>
        <v>1</v>
      </c>
      <c r="H56" s="99">
        <f>(H61*E61+H64*E64+H67*E67+H71*E71+H74*E74+H78*E78+H83*E83+H86*E86+H88*E88)/E56</f>
        <v>79.656296372227416</v>
      </c>
      <c r="I56" s="12"/>
      <c r="J56" s="12"/>
      <c r="K56" s="12"/>
      <c r="L56" s="100">
        <f>IF(SUM(M57:Y57)=SUM(M58:Y58),1,2)</f>
        <v>2</v>
      </c>
      <c r="M56" s="101" t="s">
        <v>14</v>
      </c>
      <c r="N56" s="102" t="s">
        <v>80</v>
      </c>
      <c r="O56" s="102" t="s">
        <v>81</v>
      </c>
      <c r="P56" s="102" t="s">
        <v>82</v>
      </c>
    </row>
    <row r="57" spans="1:28" ht="31.5">
      <c r="A57" s="18"/>
      <c r="B57" s="627"/>
      <c r="C57" s="19" t="s">
        <v>23</v>
      </c>
      <c r="D57" s="103">
        <f>D62+D65+D68+D72+D75+D79+D84+D87+D89</f>
        <v>67940.500000000015</v>
      </c>
      <c r="E57" s="103">
        <f>E62+E65+E68+E72+E75+E79+E84+E87+E89</f>
        <v>67940.500000000015</v>
      </c>
      <c r="F57" s="21">
        <f t="shared" si="1"/>
        <v>1</v>
      </c>
      <c r="G57" s="21">
        <f t="shared" si="0"/>
        <v>1</v>
      </c>
      <c r="H57" s="22"/>
      <c r="I57" s="23"/>
      <c r="J57" s="23"/>
      <c r="K57" s="23"/>
      <c r="L57" s="104"/>
      <c r="M57" s="105" t="s">
        <v>22</v>
      </c>
      <c r="N57" s="28">
        <v>67.8</v>
      </c>
      <c r="O57" s="27">
        <v>82</v>
      </c>
      <c r="P57" s="28">
        <v>92</v>
      </c>
    </row>
    <row r="58" spans="1:28" ht="31.5">
      <c r="A58" s="18"/>
      <c r="B58" s="627"/>
      <c r="C58" s="19" t="s">
        <v>25</v>
      </c>
      <c r="D58" s="103">
        <f>D63+D66+D69+D73+D76+D80+D85</f>
        <v>92594.499999999985</v>
      </c>
      <c r="E58" s="103">
        <f>E63+E66+E69+E73+E76+E80+E85</f>
        <v>92594.499999999985</v>
      </c>
      <c r="F58" s="21">
        <f t="shared" si="1"/>
        <v>1</v>
      </c>
      <c r="G58" s="21">
        <f t="shared" si="0"/>
        <v>1</v>
      </c>
      <c r="H58" s="22"/>
      <c r="I58" s="23"/>
      <c r="J58" s="23"/>
      <c r="K58" s="23"/>
      <c r="L58" s="104"/>
      <c r="M58" s="105" t="s">
        <v>24</v>
      </c>
      <c r="N58" s="28">
        <v>91.3</v>
      </c>
      <c r="O58" s="27">
        <v>82</v>
      </c>
      <c r="P58" s="28">
        <v>92</v>
      </c>
    </row>
    <row r="59" spans="1:28" ht="31.5">
      <c r="A59" s="18"/>
      <c r="B59" s="627"/>
      <c r="C59" s="19" t="s">
        <v>50</v>
      </c>
      <c r="D59" s="19"/>
      <c r="E59" s="19"/>
      <c r="F59" s="21" t="e">
        <f t="shared" si="1"/>
        <v>#DIV/0!</v>
      </c>
      <c r="G59" s="21" t="e">
        <f t="shared" si="0"/>
        <v>#DIV/0!</v>
      </c>
      <c r="H59" s="22"/>
      <c r="I59" s="23"/>
      <c r="J59" s="23"/>
      <c r="K59" s="23"/>
      <c r="L59" s="24"/>
    </row>
    <row r="60" spans="1:28" ht="63.75" thickBot="1">
      <c r="A60" s="29"/>
      <c r="B60" s="628"/>
      <c r="C60" s="30" t="s">
        <v>83</v>
      </c>
      <c r="D60" s="30">
        <f>D77+D82</f>
        <v>3649.2000000000003</v>
      </c>
      <c r="E60" s="30">
        <f>E77+E82</f>
        <v>3649.2000000000003</v>
      </c>
      <c r="F60" s="32">
        <f t="shared" si="1"/>
        <v>1</v>
      </c>
      <c r="G60" s="32">
        <f t="shared" si="0"/>
        <v>1</v>
      </c>
      <c r="H60" s="33"/>
      <c r="I60" s="34"/>
      <c r="J60" s="34"/>
      <c r="K60" s="34"/>
      <c r="L60" s="35"/>
      <c r="M60" s="101" t="s">
        <v>14</v>
      </c>
      <c r="N60" s="45" t="s">
        <v>84</v>
      </c>
      <c r="O60" s="45" t="s">
        <v>85</v>
      </c>
      <c r="P60" s="45" t="s">
        <v>86</v>
      </c>
      <c r="Q60" s="106" t="s">
        <v>87</v>
      </c>
    </row>
    <row r="61" spans="1:28" ht="39" customHeight="1">
      <c r="A61" s="36" t="s">
        <v>88</v>
      </c>
      <c r="B61" s="617" t="s">
        <v>89</v>
      </c>
      <c r="C61" s="107" t="s">
        <v>21</v>
      </c>
      <c r="D61" s="108">
        <v>293</v>
      </c>
      <c r="E61" s="108">
        <v>293</v>
      </c>
      <c r="F61" s="38">
        <f t="shared" si="1"/>
        <v>1</v>
      </c>
      <c r="G61" s="39">
        <f t="shared" si="0"/>
        <v>1</v>
      </c>
      <c r="H61" s="40">
        <f>I61+J61+K61</f>
        <v>90</v>
      </c>
      <c r="I61" s="41">
        <f t="shared" si="2"/>
        <v>25</v>
      </c>
      <c r="J61" s="42">
        <f>IF([1]!Таблица256[[#This Row],[% экономии при выполнении программ/подпрограмм]],10,0)</f>
        <v>10</v>
      </c>
      <c r="K61" s="42">
        <f t="shared" si="3"/>
        <v>55</v>
      </c>
      <c r="L61" s="43">
        <f>IF(SUM(N61:Q61)=SUM(N62:Q62),1,IF(SUM(N61:Q61)&lt;SUM(N62:Q62),1,2))</f>
        <v>1</v>
      </c>
      <c r="M61" s="105" t="s">
        <v>22</v>
      </c>
      <c r="N61" s="28">
        <v>70</v>
      </c>
      <c r="O61" s="27">
        <v>53</v>
      </c>
      <c r="P61" s="28">
        <v>100</v>
      </c>
      <c r="Q61" s="28">
        <v>950</v>
      </c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</row>
    <row r="62" spans="1:28" ht="31.5">
      <c r="A62" s="44"/>
      <c r="B62" s="608"/>
      <c r="C62" s="110" t="s">
        <v>23</v>
      </c>
      <c r="D62" s="111">
        <v>293</v>
      </c>
      <c r="E62" s="111">
        <v>293</v>
      </c>
      <c r="F62" s="21"/>
      <c r="G62" s="46"/>
      <c r="H62" s="47"/>
      <c r="I62" s="23"/>
      <c r="J62" s="48"/>
      <c r="K62" s="48"/>
      <c r="L62" s="24"/>
      <c r="M62" s="105" t="s">
        <v>24</v>
      </c>
      <c r="N62" s="28">
        <v>70</v>
      </c>
      <c r="O62" s="27">
        <v>100</v>
      </c>
      <c r="P62" s="28">
        <v>100</v>
      </c>
      <c r="Q62" s="112">
        <v>950</v>
      </c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</row>
    <row r="63" spans="1:28" ht="49.5">
      <c r="A63" s="44"/>
      <c r="B63" s="608"/>
      <c r="C63" s="110" t="s">
        <v>25</v>
      </c>
      <c r="D63" s="111">
        <v>293</v>
      </c>
      <c r="E63" s="111">
        <v>293</v>
      </c>
      <c r="F63" s="21"/>
      <c r="G63" s="46"/>
      <c r="H63" s="47"/>
      <c r="I63" s="23"/>
      <c r="J63" s="48"/>
      <c r="K63" s="48"/>
      <c r="L63" s="24"/>
      <c r="M63" s="101" t="s">
        <v>14</v>
      </c>
      <c r="N63" s="45" t="s">
        <v>90</v>
      </c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</row>
    <row r="64" spans="1:28" ht="42.75" customHeight="1">
      <c r="A64" s="44" t="s">
        <v>91</v>
      </c>
      <c r="B64" s="608" t="s">
        <v>92</v>
      </c>
      <c r="C64" s="110" t="s">
        <v>21</v>
      </c>
      <c r="D64" s="110">
        <v>896.7</v>
      </c>
      <c r="E64" s="110">
        <v>896.7</v>
      </c>
      <c r="F64" s="21">
        <f t="shared" si="1"/>
        <v>1</v>
      </c>
      <c r="G64" s="46">
        <f t="shared" si="0"/>
        <v>1</v>
      </c>
      <c r="H64" s="47">
        <f>I64+J64+K64</f>
        <v>90</v>
      </c>
      <c r="I64" s="23">
        <f t="shared" si="2"/>
        <v>25</v>
      </c>
      <c r="J64" s="48">
        <f>IF([1]!Таблица256[[#This Row],[% экономии при выполнении программ/подпрограмм]],10,0)</f>
        <v>10</v>
      </c>
      <c r="K64" s="48">
        <f t="shared" si="3"/>
        <v>55</v>
      </c>
      <c r="L64" s="24">
        <f>IF(SUM(N64)=SUM(N65),1,2)</f>
        <v>1</v>
      </c>
      <c r="M64" s="105" t="s">
        <v>22</v>
      </c>
      <c r="N64" s="28">
        <v>10</v>
      </c>
      <c r="Q64" s="109"/>
    </row>
    <row r="65" spans="1:21" ht="31.5">
      <c r="A65" s="44"/>
      <c r="B65" s="608"/>
      <c r="C65" s="110" t="s">
        <v>23</v>
      </c>
      <c r="D65" s="110">
        <v>791.2</v>
      </c>
      <c r="E65" s="110">
        <v>791.2</v>
      </c>
      <c r="F65" s="21"/>
      <c r="G65" s="46"/>
      <c r="H65" s="47"/>
      <c r="I65" s="23"/>
      <c r="J65" s="48"/>
      <c r="K65" s="48"/>
      <c r="L65" s="24"/>
      <c r="M65" s="105" t="s">
        <v>24</v>
      </c>
      <c r="N65" s="28">
        <v>10</v>
      </c>
    </row>
    <row r="66" spans="1:21" ht="66">
      <c r="A66" s="44"/>
      <c r="B66" s="608"/>
      <c r="C66" s="110" t="s">
        <v>25</v>
      </c>
      <c r="D66" s="110">
        <v>105.5</v>
      </c>
      <c r="E66" s="110">
        <v>105.5</v>
      </c>
      <c r="F66" s="21"/>
      <c r="G66" s="46"/>
      <c r="H66" s="47"/>
      <c r="I66" s="23"/>
      <c r="J66" s="48"/>
      <c r="K66" s="48"/>
      <c r="L66" s="24"/>
      <c r="M66" s="101" t="s">
        <v>14</v>
      </c>
      <c r="N66" s="102" t="s">
        <v>93</v>
      </c>
      <c r="O66" s="102" t="s">
        <v>94</v>
      </c>
      <c r="P66" s="102" t="s">
        <v>95</v>
      </c>
    </row>
    <row r="67" spans="1:21" ht="38.25" customHeight="1">
      <c r="A67" s="44" t="s">
        <v>96</v>
      </c>
      <c r="B67" s="608" t="s">
        <v>97</v>
      </c>
      <c r="C67" s="110" t="s">
        <v>21</v>
      </c>
      <c r="D67" s="110">
        <v>578.1</v>
      </c>
      <c r="E67" s="110">
        <v>578.1</v>
      </c>
      <c r="F67" s="21">
        <f t="shared" si="1"/>
        <v>1</v>
      </c>
      <c r="G67" s="46">
        <f t="shared" ref="G67:G129" si="6">E67/D67*100%</f>
        <v>1</v>
      </c>
      <c r="H67" s="47">
        <f>I67+J67+K67</f>
        <v>90</v>
      </c>
      <c r="I67" s="23">
        <f t="shared" ref="I67:I129" si="7">IF(G67=1,25,IF((G67&gt;0.9)*(G67&lt;1),0,IF((G67&gt;0.7)*(G67&lt;0.9),-10,-25)))</f>
        <v>25</v>
      </c>
      <c r="J67" s="48">
        <f>IF([1]!Таблица256[[#This Row],[% экономии при выполнении программ/подпрограмм]],10,0)</f>
        <v>10</v>
      </c>
      <c r="K67" s="48">
        <f t="shared" ref="K67:K129" si="8">IF(L67=1,55,10)</f>
        <v>55</v>
      </c>
      <c r="L67" s="24">
        <f>IF(SUM(N67:P67)=SUM(N68:P68),1,IF(SUM(N67:P67)&lt;SUM(N68:P68),1,2))</f>
        <v>1</v>
      </c>
      <c r="M67" s="105" t="s">
        <v>22</v>
      </c>
      <c r="N67" s="28">
        <v>83</v>
      </c>
      <c r="O67" s="27">
        <v>20</v>
      </c>
      <c r="P67" s="28">
        <v>17</v>
      </c>
    </row>
    <row r="68" spans="1:21" ht="31.5">
      <c r="A68" s="44"/>
      <c r="B68" s="608"/>
      <c r="C68" s="110" t="s">
        <v>23</v>
      </c>
      <c r="D68" s="110">
        <v>208.5</v>
      </c>
      <c r="E68" s="110">
        <v>208.5</v>
      </c>
      <c r="F68" s="21"/>
      <c r="G68" s="46"/>
      <c r="H68" s="47"/>
      <c r="I68" s="23"/>
      <c r="J68" s="48"/>
      <c r="K68" s="48"/>
      <c r="L68" s="24"/>
      <c r="M68" s="105" t="s">
        <v>24</v>
      </c>
      <c r="N68" s="28">
        <v>85.9</v>
      </c>
      <c r="O68" s="27">
        <v>25.9</v>
      </c>
      <c r="P68" s="28">
        <v>17</v>
      </c>
      <c r="Q68" s="113"/>
    </row>
    <row r="69" spans="1:21" ht="31.5">
      <c r="A69" s="44"/>
      <c r="B69" s="608"/>
      <c r="C69" s="110" t="s">
        <v>25</v>
      </c>
      <c r="D69" s="110">
        <v>369.6</v>
      </c>
      <c r="E69" s="110">
        <v>369.6</v>
      </c>
      <c r="F69" s="21"/>
      <c r="G69" s="46"/>
      <c r="H69" s="47"/>
      <c r="I69" s="23"/>
      <c r="J69" s="48"/>
      <c r="K69" s="48"/>
      <c r="L69" s="24"/>
      <c r="Q69" s="114"/>
    </row>
    <row r="70" spans="1:21" ht="49.5">
      <c r="A70" s="44"/>
      <c r="B70" s="608"/>
      <c r="C70" s="110" t="s">
        <v>50</v>
      </c>
      <c r="D70" s="115">
        <v>0</v>
      </c>
      <c r="E70" s="115">
        <v>0</v>
      </c>
      <c r="F70" s="21"/>
      <c r="G70" s="46"/>
      <c r="H70" s="47"/>
      <c r="I70" s="23"/>
      <c r="J70" s="48"/>
      <c r="K70" s="48"/>
      <c r="L70" s="24"/>
      <c r="M70" s="101" t="s">
        <v>14</v>
      </c>
      <c r="N70" s="102" t="s">
        <v>98</v>
      </c>
      <c r="O70" s="102" t="s">
        <v>99</v>
      </c>
      <c r="Q70" s="114"/>
    </row>
    <row r="71" spans="1:21" ht="33.75" customHeight="1">
      <c r="A71" s="44" t="s">
        <v>100</v>
      </c>
      <c r="B71" s="608" t="s">
        <v>101</v>
      </c>
      <c r="C71" s="110" t="s">
        <v>21</v>
      </c>
      <c r="D71" s="110">
        <v>1229</v>
      </c>
      <c r="E71" s="110">
        <v>1229</v>
      </c>
      <c r="F71" s="21">
        <f t="shared" ref="F71:F129" si="9">E71/D71*100%</f>
        <v>1</v>
      </c>
      <c r="G71" s="46">
        <f t="shared" si="6"/>
        <v>1</v>
      </c>
      <c r="H71" s="47">
        <f>I71+J71+K71</f>
        <v>90</v>
      </c>
      <c r="I71" s="23">
        <f t="shared" si="7"/>
        <v>25</v>
      </c>
      <c r="J71" s="48">
        <f>IF([1]!Таблица256[[#This Row],[% экономии при выполнении программ/подпрограмм]],10,0)</f>
        <v>10</v>
      </c>
      <c r="K71" s="48">
        <f t="shared" si="8"/>
        <v>55</v>
      </c>
      <c r="L71" s="24">
        <f>IF(SUM(N71:O71)=SUM(N72:O72),1,2)</f>
        <v>1</v>
      </c>
      <c r="M71" s="105" t="s">
        <v>22</v>
      </c>
      <c r="N71" s="28">
        <v>92</v>
      </c>
      <c r="O71" s="27">
        <v>100</v>
      </c>
      <c r="Q71" s="52"/>
      <c r="U71" s="52"/>
    </row>
    <row r="72" spans="1:21" ht="31.5">
      <c r="A72" s="44"/>
      <c r="B72" s="608"/>
      <c r="C72" s="110" t="s">
        <v>23</v>
      </c>
      <c r="D72" s="110">
        <v>1229</v>
      </c>
      <c r="E72" s="110">
        <v>1229</v>
      </c>
      <c r="F72" s="21"/>
      <c r="G72" s="46"/>
      <c r="H72" s="47"/>
      <c r="I72" s="23"/>
      <c r="J72" s="48"/>
      <c r="K72" s="48"/>
      <c r="L72" s="24"/>
      <c r="M72" s="105" t="s">
        <v>24</v>
      </c>
      <c r="N72" s="28">
        <v>92</v>
      </c>
      <c r="O72" s="27">
        <v>100</v>
      </c>
      <c r="U72" s="52"/>
    </row>
    <row r="73" spans="1:21" ht="31.5">
      <c r="A73" s="44"/>
      <c r="B73" s="608"/>
      <c r="C73" s="110" t="s">
        <v>25</v>
      </c>
      <c r="D73" s="110">
        <v>0</v>
      </c>
      <c r="E73" s="110">
        <v>0</v>
      </c>
      <c r="F73" s="21"/>
      <c r="G73" s="46"/>
      <c r="H73" s="47"/>
      <c r="I73" s="23"/>
      <c r="J73" s="48"/>
      <c r="K73" s="48"/>
      <c r="L73" s="24"/>
      <c r="U73" s="52"/>
    </row>
    <row r="74" spans="1:21" ht="32.25" customHeight="1">
      <c r="A74" s="44" t="s">
        <v>102</v>
      </c>
      <c r="B74" s="608" t="s">
        <v>103</v>
      </c>
      <c r="C74" s="110" t="s">
        <v>21</v>
      </c>
      <c r="D74" s="116">
        <v>53266.6</v>
      </c>
      <c r="E74" s="116">
        <v>53266.6</v>
      </c>
      <c r="F74" s="21">
        <f t="shared" si="9"/>
        <v>1</v>
      </c>
      <c r="G74" s="46">
        <f t="shared" si="6"/>
        <v>1</v>
      </c>
      <c r="H74" s="47">
        <f>J74+K74</f>
        <v>80</v>
      </c>
      <c r="I74" s="23">
        <f t="shared" si="7"/>
        <v>25</v>
      </c>
      <c r="J74" s="48">
        <f>IF([1]!Таблица256[[#This Row],[% экономии при выполнении программ/подпрограмм]],20,0)</f>
        <v>20</v>
      </c>
      <c r="K74" s="48">
        <f>IF(L74=1,60,30)</f>
        <v>60</v>
      </c>
      <c r="L74" s="24">
        <f>IF(SUM(N75:O75)=SUM(N76:O76),1,IF(SUM(N75:O75)&lt;SUM(N76:O76),1,2))</f>
        <v>1</v>
      </c>
      <c r="M74" s="101" t="s">
        <v>14</v>
      </c>
      <c r="N74" s="45" t="s">
        <v>80</v>
      </c>
      <c r="O74" s="45" t="s">
        <v>104</v>
      </c>
      <c r="P74" s="113"/>
      <c r="U74" s="117"/>
    </row>
    <row r="75" spans="1:21" ht="31.5">
      <c r="A75" s="44"/>
      <c r="B75" s="608"/>
      <c r="C75" s="110" t="s">
        <v>23</v>
      </c>
      <c r="D75" s="116">
        <v>25045.200000000001</v>
      </c>
      <c r="E75" s="116">
        <v>25045.200000000001</v>
      </c>
      <c r="F75" s="21"/>
      <c r="G75" s="46"/>
      <c r="H75" s="47"/>
      <c r="I75" s="23"/>
      <c r="J75" s="48"/>
      <c r="K75" s="48"/>
      <c r="L75" s="24"/>
      <c r="M75" s="105" t="s">
        <v>22</v>
      </c>
      <c r="N75" s="28">
        <v>67.8</v>
      </c>
      <c r="O75" s="27">
        <v>62</v>
      </c>
      <c r="P75" s="114"/>
      <c r="U75" s="114"/>
    </row>
    <row r="76" spans="1:21" ht="31.5">
      <c r="A76" s="44"/>
      <c r="B76" s="608"/>
      <c r="C76" s="110" t="s">
        <v>25</v>
      </c>
      <c r="D76" s="116">
        <v>25002.6</v>
      </c>
      <c r="E76" s="116">
        <v>25002.6</v>
      </c>
      <c r="F76" s="21"/>
      <c r="G76" s="46"/>
      <c r="H76" s="47"/>
      <c r="I76" s="23"/>
      <c r="J76" s="48"/>
      <c r="K76" s="48"/>
      <c r="L76" s="24"/>
      <c r="M76" s="105" t="s">
        <v>24</v>
      </c>
      <c r="N76" s="28">
        <v>91.3</v>
      </c>
      <c r="O76" s="27">
        <v>93</v>
      </c>
      <c r="P76" s="114"/>
      <c r="U76" s="114"/>
    </row>
    <row r="77" spans="1:21" ht="31.5">
      <c r="A77" s="44"/>
      <c r="B77" s="608"/>
      <c r="C77" s="110" t="s">
        <v>105</v>
      </c>
      <c r="D77" s="116">
        <v>3218.8</v>
      </c>
      <c r="E77" s="116">
        <v>3218.8</v>
      </c>
      <c r="F77" s="21"/>
      <c r="G77" s="46"/>
      <c r="H77" s="47"/>
      <c r="I77" s="23"/>
      <c r="J77" s="48"/>
      <c r="K77" s="48"/>
      <c r="L77" s="24"/>
      <c r="N77" s="2"/>
      <c r="O77" s="3"/>
      <c r="U77" s="52"/>
    </row>
    <row r="78" spans="1:21" ht="35.25" customHeight="1">
      <c r="A78" s="44" t="s">
        <v>106</v>
      </c>
      <c r="B78" s="608" t="s">
        <v>107</v>
      </c>
      <c r="C78" s="110" t="s">
        <v>21</v>
      </c>
      <c r="D78" s="110">
        <v>95552.5</v>
      </c>
      <c r="E78" s="110">
        <v>95552.5</v>
      </c>
      <c r="F78" s="21">
        <f t="shared" si="9"/>
        <v>1</v>
      </c>
      <c r="G78" s="46">
        <f t="shared" si="6"/>
        <v>1</v>
      </c>
      <c r="H78" s="47">
        <f>J78+K78</f>
        <v>80</v>
      </c>
      <c r="I78" s="23">
        <f t="shared" si="7"/>
        <v>25</v>
      </c>
      <c r="J78" s="48">
        <f>IF([1]!Таблица256[[#This Row],[% экономии при выполнении программ/подпрограмм]],20,0)</f>
        <v>20</v>
      </c>
      <c r="K78" s="48">
        <f>IF(L78=1,60,30)</f>
        <v>60</v>
      </c>
      <c r="L78" s="24">
        <f>IF(SUM(N79:S79)=SUM(N80:S80),1,IF(SUM(N79:S79)&lt;SUM(N80:S80),1,2))</f>
        <v>1</v>
      </c>
      <c r="M78" s="101" t="s">
        <v>14</v>
      </c>
      <c r="N78" s="102" t="s">
        <v>108</v>
      </c>
      <c r="O78" s="102" t="s">
        <v>109</v>
      </c>
      <c r="P78" s="102" t="s">
        <v>110</v>
      </c>
      <c r="Q78" s="102" t="s">
        <v>111</v>
      </c>
      <c r="R78" s="102" t="s">
        <v>112</v>
      </c>
      <c r="S78" s="102" t="s">
        <v>113</v>
      </c>
    </row>
    <row r="79" spans="1:21" ht="31.5">
      <c r="A79" s="44"/>
      <c r="B79" s="608"/>
      <c r="C79" s="110" t="s">
        <v>23</v>
      </c>
      <c r="D79" s="110">
        <v>28671.7</v>
      </c>
      <c r="E79" s="110">
        <v>28671.7</v>
      </c>
      <c r="F79" s="21"/>
      <c r="G79" s="46"/>
      <c r="H79" s="47"/>
      <c r="I79" s="23"/>
      <c r="J79" s="48"/>
      <c r="K79" s="48"/>
      <c r="L79" s="104"/>
      <c r="M79" s="105" t="s">
        <v>22</v>
      </c>
      <c r="N79" s="28">
        <v>100</v>
      </c>
      <c r="O79" s="28">
        <v>100</v>
      </c>
      <c r="P79" s="118">
        <v>8.27</v>
      </c>
      <c r="Q79" s="28">
        <v>100</v>
      </c>
      <c r="R79" s="28">
        <v>82</v>
      </c>
      <c r="S79" s="28">
        <v>100</v>
      </c>
    </row>
    <row r="80" spans="1:21" ht="31.5">
      <c r="A80" s="44"/>
      <c r="B80" s="608"/>
      <c r="C80" s="110" t="s">
        <v>25</v>
      </c>
      <c r="D80" s="110">
        <v>66450.399999999994</v>
      </c>
      <c r="E80" s="110">
        <v>66450.399999999994</v>
      </c>
      <c r="F80" s="21"/>
      <c r="G80" s="46"/>
      <c r="H80" s="47"/>
      <c r="I80" s="23"/>
      <c r="J80" s="48"/>
      <c r="K80" s="48"/>
      <c r="L80" s="104"/>
      <c r="M80" s="105" t="s">
        <v>24</v>
      </c>
      <c r="N80" s="28">
        <v>100</v>
      </c>
      <c r="O80" s="28">
        <v>100</v>
      </c>
      <c r="P80" s="28">
        <v>10</v>
      </c>
      <c r="Q80" s="28">
        <v>100</v>
      </c>
      <c r="R80" s="28">
        <v>82</v>
      </c>
      <c r="S80" s="28">
        <v>100</v>
      </c>
    </row>
    <row r="81" spans="1:17" ht="115.5">
      <c r="A81" s="44"/>
      <c r="B81" s="608"/>
      <c r="C81" s="110" t="s">
        <v>50</v>
      </c>
      <c r="D81" s="115">
        <v>0</v>
      </c>
      <c r="E81" s="115">
        <v>0</v>
      </c>
      <c r="F81" s="21"/>
      <c r="G81" s="46"/>
      <c r="H81" s="47"/>
      <c r="I81" s="23"/>
      <c r="J81" s="48"/>
      <c r="K81" s="48"/>
      <c r="L81" s="104"/>
      <c r="M81" s="101" t="s">
        <v>14</v>
      </c>
      <c r="N81" s="102" t="s">
        <v>114</v>
      </c>
      <c r="O81" s="102" t="s">
        <v>115</v>
      </c>
      <c r="P81" s="102" t="s">
        <v>116</v>
      </c>
    </row>
    <row r="82" spans="1:17" ht="72" customHeight="1">
      <c r="A82" s="44"/>
      <c r="B82" s="608"/>
      <c r="C82" s="110" t="s">
        <v>83</v>
      </c>
      <c r="D82" s="110">
        <v>430.4</v>
      </c>
      <c r="E82" s="110">
        <v>430.4</v>
      </c>
      <c r="F82" s="21"/>
      <c r="G82" s="46"/>
      <c r="H82" s="47"/>
      <c r="I82" s="23"/>
      <c r="J82" s="48"/>
      <c r="K82" s="48"/>
      <c r="L82" s="104"/>
      <c r="M82" s="105" t="s">
        <v>22</v>
      </c>
      <c r="N82" s="28">
        <v>82</v>
      </c>
      <c r="O82" s="27">
        <v>25</v>
      </c>
      <c r="P82" s="28">
        <v>90</v>
      </c>
    </row>
    <row r="83" spans="1:17" ht="32.25" customHeight="1">
      <c r="A83" s="44" t="s">
        <v>117</v>
      </c>
      <c r="B83" s="608" t="s">
        <v>118</v>
      </c>
      <c r="C83" s="110" t="s">
        <v>21</v>
      </c>
      <c r="D83" s="110">
        <v>4558.2</v>
      </c>
      <c r="E83" s="110">
        <v>4558.2</v>
      </c>
      <c r="F83" s="21">
        <f t="shared" si="9"/>
        <v>1</v>
      </c>
      <c r="G83" s="46">
        <f t="shared" si="6"/>
        <v>1</v>
      </c>
      <c r="H83" s="47">
        <f>J83+K83</f>
        <v>80</v>
      </c>
      <c r="I83" s="23">
        <f t="shared" si="7"/>
        <v>25</v>
      </c>
      <c r="J83" s="48">
        <f>IF([1]!Таблица256[[#This Row],[% экономии при выполнении программ/подпрограмм]],20,0)</f>
        <v>20</v>
      </c>
      <c r="K83" s="48">
        <f>IF(L83=1,60,30)</f>
        <v>60</v>
      </c>
      <c r="L83" s="24">
        <f>IF(SUM(N82:P82)=SUM(N83:P83),1,IF(SUM(N82:P82)&lt;SUM(N83:P83),1,2))</f>
        <v>1</v>
      </c>
      <c r="M83" s="105" t="s">
        <v>24</v>
      </c>
      <c r="N83" s="28">
        <v>92</v>
      </c>
      <c r="O83" s="27">
        <v>25</v>
      </c>
      <c r="P83" s="28">
        <v>90</v>
      </c>
    </row>
    <row r="84" spans="1:17" ht="49.5">
      <c r="A84" s="44"/>
      <c r="B84" s="608"/>
      <c r="C84" s="110" t="s">
        <v>23</v>
      </c>
      <c r="D84" s="110">
        <v>4184.8</v>
      </c>
      <c r="E84" s="110">
        <v>4184.8</v>
      </c>
      <c r="F84" s="21"/>
      <c r="G84" s="46"/>
      <c r="H84" s="47"/>
      <c r="I84" s="23"/>
      <c r="J84" s="48"/>
      <c r="K84" s="48"/>
      <c r="L84" s="24"/>
      <c r="M84" s="101" t="s">
        <v>14</v>
      </c>
      <c r="N84" s="45" t="s">
        <v>119</v>
      </c>
      <c r="O84" s="45" t="s">
        <v>120</v>
      </c>
    </row>
    <row r="85" spans="1:17" ht="39.75" customHeight="1">
      <c r="A85" s="44"/>
      <c r="B85" s="608"/>
      <c r="C85" s="110" t="s">
        <v>25</v>
      </c>
      <c r="D85" s="110">
        <v>373.4</v>
      </c>
      <c r="E85" s="110">
        <v>373.4</v>
      </c>
      <c r="F85" s="21"/>
      <c r="G85" s="46"/>
      <c r="H85" s="47"/>
      <c r="I85" s="23"/>
      <c r="J85" s="48"/>
      <c r="K85" s="48"/>
      <c r="L85" s="24"/>
      <c r="M85" s="105" t="s">
        <v>22</v>
      </c>
      <c r="N85" s="28">
        <v>100</v>
      </c>
      <c r="O85" s="27">
        <v>0</v>
      </c>
      <c r="P85" s="114"/>
    </row>
    <row r="86" spans="1:17" ht="45" customHeight="1">
      <c r="A86" s="44" t="s">
        <v>121</v>
      </c>
      <c r="B86" s="608" t="s">
        <v>122</v>
      </c>
      <c r="C86" s="110" t="s">
        <v>21</v>
      </c>
      <c r="D86" s="110">
        <v>4640.5</v>
      </c>
      <c r="E86" s="110">
        <v>4640.5</v>
      </c>
      <c r="F86" s="21">
        <f t="shared" si="9"/>
        <v>1</v>
      </c>
      <c r="G86" s="46">
        <f t="shared" si="6"/>
        <v>1</v>
      </c>
      <c r="H86" s="47">
        <f>J86+K86</f>
        <v>80</v>
      </c>
      <c r="I86" s="23">
        <f t="shared" si="7"/>
        <v>25</v>
      </c>
      <c r="J86" s="48">
        <f>IF([1]!Таблица256[[#This Row],[% экономии при выполнении программ/подпрограмм]],20,0)</f>
        <v>20</v>
      </c>
      <c r="K86" s="48">
        <f>IF(L86=1,60,30)</f>
        <v>60</v>
      </c>
      <c r="L86" s="24">
        <f>IF(SUM(N85:O85)=SUM(N86:O86),1,2)</f>
        <v>1</v>
      </c>
      <c r="M86" s="105" t="s">
        <v>24</v>
      </c>
      <c r="N86" s="28">
        <v>100</v>
      </c>
      <c r="O86" s="27">
        <v>0</v>
      </c>
      <c r="P86" s="114"/>
    </row>
    <row r="87" spans="1:17" ht="99">
      <c r="A87" s="44"/>
      <c r="B87" s="608"/>
      <c r="C87" s="110" t="s">
        <v>23</v>
      </c>
      <c r="D87" s="110">
        <v>4640.5</v>
      </c>
      <c r="E87" s="110">
        <v>4640.5</v>
      </c>
      <c r="F87" s="21"/>
      <c r="G87" s="46"/>
      <c r="H87" s="47"/>
      <c r="I87" s="23"/>
      <c r="J87" s="48"/>
      <c r="K87" s="48"/>
      <c r="L87" s="24"/>
      <c r="M87" s="101" t="s">
        <v>14</v>
      </c>
      <c r="N87" s="45" t="s">
        <v>123</v>
      </c>
      <c r="O87" s="45" t="s">
        <v>124</v>
      </c>
      <c r="P87" s="45" t="s">
        <v>125</v>
      </c>
      <c r="Q87" s="27" t="s">
        <v>126</v>
      </c>
    </row>
    <row r="88" spans="1:17" ht="42.75" customHeight="1">
      <c r="A88" s="44" t="s">
        <v>127</v>
      </c>
      <c r="B88" s="608" t="s">
        <v>128</v>
      </c>
      <c r="C88" s="110" t="s">
        <v>21</v>
      </c>
      <c r="D88" s="110">
        <v>2876.6</v>
      </c>
      <c r="E88" s="110">
        <v>2876.6</v>
      </c>
      <c r="F88" s="21">
        <f t="shared" si="9"/>
        <v>1</v>
      </c>
      <c r="G88" s="46">
        <f t="shared" si="6"/>
        <v>1</v>
      </c>
      <c r="H88" s="47">
        <f>J88+K88</f>
        <v>50</v>
      </c>
      <c r="I88" s="23">
        <f t="shared" si="7"/>
        <v>25</v>
      </c>
      <c r="J88" s="48">
        <f>IF([1]!Таблица256[[#This Row],[% экономии при выполнении программ/подпрограмм]],20,0)</f>
        <v>20</v>
      </c>
      <c r="K88" s="48">
        <f>IF(L88=1,60,30)</f>
        <v>30</v>
      </c>
      <c r="L88" s="24">
        <f>IF(SUM(N88:Q88)=SUM(N89:Q89),1,IF(SUM(N88:Q88)&lt;SUM(N89:Q89),1,2))</f>
        <v>2</v>
      </c>
      <c r="M88" s="105" t="s">
        <v>22</v>
      </c>
      <c r="N88" s="119">
        <v>90</v>
      </c>
      <c r="O88" s="120">
        <v>45</v>
      </c>
      <c r="P88" s="28">
        <v>7</v>
      </c>
      <c r="Q88" s="28">
        <v>1</v>
      </c>
    </row>
    <row r="89" spans="1:17" ht="55.5" customHeight="1" thickBot="1">
      <c r="A89" s="83"/>
      <c r="B89" s="613"/>
      <c r="C89" s="121" t="s">
        <v>23</v>
      </c>
      <c r="D89" s="121">
        <v>2876.6</v>
      </c>
      <c r="E89" s="121">
        <v>2876.6</v>
      </c>
      <c r="F89" s="59"/>
      <c r="G89" s="60"/>
      <c r="H89" s="61"/>
      <c r="I89" s="62"/>
      <c r="J89" s="63"/>
      <c r="K89" s="63"/>
      <c r="L89" s="64"/>
      <c r="M89" s="105" t="s">
        <v>24</v>
      </c>
      <c r="N89" s="119">
        <v>88</v>
      </c>
      <c r="O89" s="120">
        <v>27.3</v>
      </c>
      <c r="P89" s="28">
        <v>8.1999999999999993</v>
      </c>
      <c r="Q89" s="28">
        <v>1</v>
      </c>
    </row>
    <row r="90" spans="1:17" ht="90.75" thickBot="1">
      <c r="A90" s="7">
        <v>5</v>
      </c>
      <c r="B90" s="580" t="s">
        <v>129</v>
      </c>
      <c r="C90" s="8" t="s">
        <v>21</v>
      </c>
      <c r="D90" s="98">
        <f t="shared" ref="D90:E92" si="10">D93</f>
        <v>1535</v>
      </c>
      <c r="E90" s="98">
        <f t="shared" si="10"/>
        <v>1535</v>
      </c>
      <c r="F90" s="10">
        <f t="shared" si="9"/>
        <v>1</v>
      </c>
      <c r="G90" s="10">
        <f t="shared" si="6"/>
        <v>1</v>
      </c>
      <c r="H90" s="122">
        <f>H93*E93/[1]!Таблица256[[#This Row],[Кассовые расходы ]]</f>
        <v>45</v>
      </c>
      <c r="I90" s="12"/>
      <c r="J90" s="12"/>
      <c r="K90" s="12"/>
      <c r="L90" s="13">
        <f>IF(SUM(M91:Y91)=SUM(M92:Y92),1,2)</f>
        <v>2</v>
      </c>
      <c r="M90" s="67" t="s">
        <v>14</v>
      </c>
      <c r="N90" s="68" t="s">
        <v>130</v>
      </c>
      <c r="O90" s="69" t="s">
        <v>131</v>
      </c>
      <c r="P90" s="69" t="s">
        <v>132</v>
      </c>
    </row>
    <row r="91" spans="1:17" ht="32.25" thickBot="1">
      <c r="A91" s="18"/>
      <c r="B91" s="584"/>
      <c r="C91" s="19" t="s">
        <v>23</v>
      </c>
      <c r="D91" s="123">
        <f t="shared" si="10"/>
        <v>15.4</v>
      </c>
      <c r="E91" s="123">
        <f t="shared" si="10"/>
        <v>15.4</v>
      </c>
      <c r="F91" s="21">
        <f t="shared" si="9"/>
        <v>1</v>
      </c>
      <c r="G91" s="21">
        <f t="shared" si="6"/>
        <v>1</v>
      </c>
      <c r="H91" s="22"/>
      <c r="I91" s="23"/>
      <c r="J91" s="23"/>
      <c r="K91" s="23"/>
      <c r="L91" s="24"/>
      <c r="M91" s="124" t="s">
        <v>22</v>
      </c>
      <c r="N91" s="125" t="s">
        <v>133</v>
      </c>
      <c r="O91" s="126">
        <v>23250</v>
      </c>
      <c r="P91" s="127">
        <v>2020</v>
      </c>
    </row>
    <row r="92" spans="1:17" ht="32.25" thickBot="1">
      <c r="A92" s="29"/>
      <c r="B92" s="581"/>
      <c r="C92" s="30" t="s">
        <v>25</v>
      </c>
      <c r="D92" s="128">
        <f t="shared" si="10"/>
        <v>1519.6</v>
      </c>
      <c r="E92" s="128">
        <f t="shared" si="10"/>
        <v>1519.6</v>
      </c>
      <c r="F92" s="32">
        <f t="shared" si="9"/>
        <v>1</v>
      </c>
      <c r="G92" s="32">
        <f t="shared" si="6"/>
        <v>1</v>
      </c>
      <c r="H92" s="33"/>
      <c r="I92" s="34"/>
      <c r="J92" s="34"/>
      <c r="K92" s="34"/>
      <c r="L92" s="35"/>
      <c r="M92" s="129" t="s">
        <v>24</v>
      </c>
      <c r="N92" s="130" t="s">
        <v>134</v>
      </c>
      <c r="O92" s="120">
        <v>14307</v>
      </c>
      <c r="P92" s="131">
        <v>1099</v>
      </c>
    </row>
    <row r="93" spans="1:17" ht="120.75" thickBot="1">
      <c r="A93" s="36" t="s">
        <v>135</v>
      </c>
      <c r="B93" s="607" t="s">
        <v>136</v>
      </c>
      <c r="C93" s="81" t="s">
        <v>21</v>
      </c>
      <c r="D93" s="132">
        <v>1535</v>
      </c>
      <c r="E93" s="132">
        <v>1535</v>
      </c>
      <c r="F93" s="38">
        <f t="shared" si="9"/>
        <v>1</v>
      </c>
      <c r="G93" s="39">
        <f t="shared" si="6"/>
        <v>1</v>
      </c>
      <c r="H93" s="40">
        <f>I93+J93+K93</f>
        <v>45</v>
      </c>
      <c r="I93" s="41">
        <f t="shared" si="7"/>
        <v>25</v>
      </c>
      <c r="J93" s="42">
        <f>IF([1]!Таблица256[[#This Row],[% экономии при выполнении программ/подпрограмм]],10,0)</f>
        <v>10</v>
      </c>
      <c r="K93" s="42">
        <f t="shared" si="8"/>
        <v>10</v>
      </c>
      <c r="L93" s="43">
        <f>IF(SUM(N91:P91)=SUM(N92:P92),1,2)</f>
        <v>2</v>
      </c>
      <c r="M93" s="67" t="s">
        <v>14</v>
      </c>
      <c r="N93" s="133" t="s">
        <v>137</v>
      </c>
      <c r="O93" s="3"/>
    </row>
    <row r="94" spans="1:17" ht="32.25" thickBot="1">
      <c r="A94" s="44"/>
      <c r="B94" s="605"/>
      <c r="C94" s="53" t="s">
        <v>23</v>
      </c>
      <c r="D94" s="134">
        <v>15.4</v>
      </c>
      <c r="E94" s="134">
        <v>15.4</v>
      </c>
      <c r="F94" s="21">
        <f t="shared" si="9"/>
        <v>1</v>
      </c>
      <c r="G94" s="46">
        <f t="shared" si="6"/>
        <v>1</v>
      </c>
      <c r="H94" s="47"/>
      <c r="I94" s="23">
        <f t="shared" si="7"/>
        <v>25</v>
      </c>
      <c r="J94" s="48">
        <f>IF([1]!Таблица256[[#This Row],[% экономии при выполнении программ/подпрограмм]],10,0)</f>
        <v>10</v>
      </c>
      <c r="K94" s="48">
        <f t="shared" si="8"/>
        <v>10</v>
      </c>
      <c r="L94" s="24"/>
      <c r="M94" s="124" t="s">
        <v>22</v>
      </c>
      <c r="N94" s="90">
        <v>1535</v>
      </c>
      <c r="O94" s="3"/>
    </row>
    <row r="95" spans="1:17" ht="32.25" thickBot="1">
      <c r="A95" s="83"/>
      <c r="B95" s="606"/>
      <c r="C95" s="94" t="s">
        <v>25</v>
      </c>
      <c r="D95" s="135">
        <v>1519.6</v>
      </c>
      <c r="E95" s="135">
        <v>1519.6</v>
      </c>
      <c r="F95" s="59">
        <f t="shared" si="9"/>
        <v>1</v>
      </c>
      <c r="G95" s="60">
        <f t="shared" si="6"/>
        <v>1</v>
      </c>
      <c r="H95" s="61"/>
      <c r="I95" s="62">
        <f t="shared" si="7"/>
        <v>25</v>
      </c>
      <c r="J95" s="63">
        <f>IF([1]!Таблица256[[#This Row],[% экономии при выполнении программ/подпрограмм]],10,0)</f>
        <v>10</v>
      </c>
      <c r="K95" s="63">
        <f t="shared" si="8"/>
        <v>10</v>
      </c>
      <c r="L95" s="64"/>
      <c r="M95" s="136" t="s">
        <v>24</v>
      </c>
      <c r="N95" s="137">
        <v>1535</v>
      </c>
      <c r="O95" s="3"/>
    </row>
    <row r="96" spans="1:17" ht="57" thickBot="1">
      <c r="A96" s="7">
        <v>6</v>
      </c>
      <c r="B96" s="580" t="s">
        <v>138</v>
      </c>
      <c r="C96" s="8" t="s">
        <v>21</v>
      </c>
      <c r="D96" s="138">
        <f>D99+D102+D106</f>
        <v>6916.6449200000006</v>
      </c>
      <c r="E96" s="138">
        <f>E99+E102+E106</f>
        <v>6916.6449200000006</v>
      </c>
      <c r="F96" s="10">
        <f t="shared" si="9"/>
        <v>1</v>
      </c>
      <c r="G96" s="10">
        <f t="shared" si="6"/>
        <v>1</v>
      </c>
      <c r="H96" s="11">
        <f>(H99*E99+H102*E102+H106*E106)/[1]!Таблица256[[#This Row],[Кассовые расходы ]]</f>
        <v>89.999999999999986</v>
      </c>
      <c r="I96" s="12"/>
      <c r="J96" s="12"/>
      <c r="K96" s="12"/>
      <c r="L96" s="13">
        <f>IF(SUM(M97:Y97)=SUM(M98:Y98),1,2)</f>
        <v>2</v>
      </c>
      <c r="M96" s="67" t="s">
        <v>14</v>
      </c>
      <c r="N96" s="139" t="s">
        <v>139</v>
      </c>
      <c r="O96" s="140" t="s">
        <v>140</v>
      </c>
      <c r="P96" s="141" t="s">
        <v>141</v>
      </c>
    </row>
    <row r="97" spans="1:23" ht="32.25" thickBot="1">
      <c r="A97" s="18"/>
      <c r="B97" s="584"/>
      <c r="C97" s="19" t="s">
        <v>23</v>
      </c>
      <c r="D97" s="142">
        <f>D100+D103+D107</f>
        <v>6916.6449200000006</v>
      </c>
      <c r="E97" s="142">
        <f>E100+E103+E107</f>
        <v>6916.6449200000006</v>
      </c>
      <c r="F97" s="21"/>
      <c r="G97" s="21"/>
      <c r="H97" s="22"/>
      <c r="I97" s="23"/>
      <c r="J97" s="23"/>
      <c r="K97" s="23"/>
      <c r="L97" s="24"/>
      <c r="M97" s="124" t="s">
        <v>22</v>
      </c>
      <c r="N97" s="125">
        <v>49.1</v>
      </c>
      <c r="O97" s="16">
        <v>50</v>
      </c>
      <c r="P97" s="16">
        <v>7</v>
      </c>
    </row>
    <row r="98" spans="1:23" ht="32.25" thickBot="1">
      <c r="A98" s="29"/>
      <c r="B98" s="581"/>
      <c r="C98" s="30" t="s">
        <v>25</v>
      </c>
      <c r="D98" s="30"/>
      <c r="E98" s="30"/>
      <c r="F98" s="32"/>
      <c r="G98" s="32"/>
      <c r="H98" s="33"/>
      <c r="I98" s="34"/>
      <c r="J98" s="34"/>
      <c r="K98" s="34"/>
      <c r="L98" s="35"/>
      <c r="M98" s="129" t="s">
        <v>24</v>
      </c>
      <c r="N98" s="143">
        <v>47.1</v>
      </c>
      <c r="O98" s="144">
        <v>50</v>
      </c>
      <c r="P98" s="144">
        <v>7</v>
      </c>
    </row>
    <row r="99" spans="1:23" ht="90.75" thickBot="1">
      <c r="A99" s="36" t="s">
        <v>142</v>
      </c>
      <c r="B99" s="607" t="s">
        <v>143</v>
      </c>
      <c r="C99" s="81" t="s">
        <v>21</v>
      </c>
      <c r="D99" s="37">
        <v>2290.3273300000001</v>
      </c>
      <c r="E99" s="37">
        <v>2290.3273300000001</v>
      </c>
      <c r="F99" s="38">
        <f t="shared" si="9"/>
        <v>1</v>
      </c>
      <c r="G99" s="39">
        <f t="shared" si="6"/>
        <v>1</v>
      </c>
      <c r="H99" s="40">
        <f>I99+J99+K99</f>
        <v>90</v>
      </c>
      <c r="I99" s="41">
        <f t="shared" si="7"/>
        <v>25</v>
      </c>
      <c r="J99" s="42">
        <f>IF([1]!Таблица256[[#This Row],[% экономии при выполнении программ/подпрограмм]],10,0)</f>
        <v>10</v>
      </c>
      <c r="K99" s="42">
        <f t="shared" si="8"/>
        <v>55</v>
      </c>
      <c r="L99" s="43">
        <f>IF(SUM(M100:Y100)=SUM(M101:Y101),1,2)</f>
        <v>1</v>
      </c>
      <c r="M99" s="67" t="s">
        <v>14</v>
      </c>
      <c r="N99" s="145" t="s">
        <v>144</v>
      </c>
      <c r="O99" s="146" t="s">
        <v>145</v>
      </c>
      <c r="P99" s="147" t="s">
        <v>146</v>
      </c>
    </row>
    <row r="100" spans="1:23" ht="32.25" thickBot="1">
      <c r="A100" s="44"/>
      <c r="B100" s="605"/>
      <c r="C100" s="53" t="s">
        <v>23</v>
      </c>
      <c r="D100" s="45">
        <v>2290.3273300000001</v>
      </c>
      <c r="E100" s="45">
        <v>2290.3273300000001</v>
      </c>
      <c r="F100" s="21"/>
      <c r="G100" s="46"/>
      <c r="H100" s="47"/>
      <c r="I100" s="23"/>
      <c r="J100" s="48"/>
      <c r="K100" s="48"/>
      <c r="L100" s="24"/>
      <c r="M100" s="124" t="s">
        <v>22</v>
      </c>
      <c r="N100" s="148" t="s">
        <v>147</v>
      </c>
      <c r="O100" s="149">
        <v>1950</v>
      </c>
      <c r="P100" s="17">
        <v>340.32733000000002</v>
      </c>
    </row>
    <row r="101" spans="1:23" ht="32.25" thickBot="1">
      <c r="A101" s="44"/>
      <c r="B101" s="605"/>
      <c r="C101" s="53" t="s">
        <v>25</v>
      </c>
      <c r="D101" s="45">
        <v>0</v>
      </c>
      <c r="E101" s="45"/>
      <c r="F101" s="21"/>
      <c r="G101" s="46"/>
      <c r="H101" s="47"/>
      <c r="I101" s="23"/>
      <c r="J101" s="48"/>
      <c r="K101" s="48"/>
      <c r="L101" s="24"/>
      <c r="M101" s="129" t="s">
        <v>24</v>
      </c>
      <c r="N101" s="150" t="s">
        <v>147</v>
      </c>
      <c r="O101" s="151">
        <v>1950</v>
      </c>
      <c r="P101" s="152">
        <v>340.32733000000002</v>
      </c>
    </row>
    <row r="102" spans="1:23" ht="160.5" customHeight="1" thickBot="1">
      <c r="A102" s="44" t="s">
        <v>148</v>
      </c>
      <c r="B102" s="605" t="s">
        <v>149</v>
      </c>
      <c r="C102" s="53" t="s">
        <v>21</v>
      </c>
      <c r="D102" s="153">
        <f>D103</f>
        <v>1400</v>
      </c>
      <c r="E102" s="153">
        <v>1400</v>
      </c>
      <c r="F102" s="21">
        <f t="shared" si="9"/>
        <v>1</v>
      </c>
      <c r="G102" s="46">
        <f t="shared" si="6"/>
        <v>1</v>
      </c>
      <c r="H102" s="47">
        <f>I102+J102+K102</f>
        <v>90</v>
      </c>
      <c r="I102" s="23">
        <f t="shared" si="7"/>
        <v>25</v>
      </c>
      <c r="J102" s="48">
        <f>IF([1]!Таблица256[[#This Row],[% экономии при выполнении программ/подпрограмм]],10,0)</f>
        <v>10</v>
      </c>
      <c r="K102" s="48">
        <f t="shared" si="8"/>
        <v>55</v>
      </c>
      <c r="L102" s="24">
        <f>IF(SUM(M103:Y103)=SUM(M104:Y104),1,2)</f>
        <v>1</v>
      </c>
      <c r="M102" s="67" t="s">
        <v>14</v>
      </c>
      <c r="N102" s="154" t="s">
        <v>150</v>
      </c>
      <c r="O102" s="155" t="s">
        <v>151</v>
      </c>
      <c r="P102" s="68" t="s">
        <v>152</v>
      </c>
      <c r="Q102" s="133" t="s">
        <v>153</v>
      </c>
    </row>
    <row r="103" spans="1:23" ht="24" customHeight="1" thickBot="1">
      <c r="A103" s="44"/>
      <c r="B103" s="605"/>
      <c r="C103" s="583" t="s">
        <v>23</v>
      </c>
      <c r="D103" s="153">
        <v>1400</v>
      </c>
      <c r="E103" s="153">
        <v>1400</v>
      </c>
      <c r="F103" s="21"/>
      <c r="G103" s="46"/>
      <c r="H103" s="47"/>
      <c r="I103" s="23"/>
      <c r="J103" s="48"/>
      <c r="K103" s="48"/>
      <c r="L103" s="24"/>
      <c r="M103" s="124" t="s">
        <v>22</v>
      </c>
      <c r="N103" s="90">
        <v>70</v>
      </c>
      <c r="O103" s="16">
        <v>54.84</v>
      </c>
      <c r="P103" s="17">
        <v>175.16</v>
      </c>
      <c r="Q103" s="17">
        <v>1100</v>
      </c>
    </row>
    <row r="104" spans="1:23" ht="18.75" thickBot="1">
      <c r="A104" s="44"/>
      <c r="B104" s="605"/>
      <c r="C104" s="583"/>
      <c r="D104" s="45"/>
      <c r="E104" s="45"/>
      <c r="F104" s="21"/>
      <c r="G104" s="46"/>
      <c r="H104" s="47"/>
      <c r="I104" s="23"/>
      <c r="J104" s="48"/>
      <c r="K104" s="48"/>
      <c r="L104" s="24"/>
      <c r="M104" s="136" t="s">
        <v>24</v>
      </c>
      <c r="N104" s="90">
        <v>70</v>
      </c>
      <c r="O104" s="16">
        <v>54.84</v>
      </c>
      <c r="P104" s="17">
        <v>175.16</v>
      </c>
      <c r="Q104" s="28">
        <v>1100</v>
      </c>
    </row>
    <row r="105" spans="1:23" ht="17.25" thickBot="1">
      <c r="A105" s="44"/>
      <c r="B105" s="605"/>
      <c r="C105" s="583"/>
      <c r="D105" s="45"/>
      <c r="E105" s="45"/>
      <c r="F105" s="21"/>
      <c r="G105" s="46"/>
      <c r="H105" s="47"/>
      <c r="I105" s="23"/>
      <c r="J105" s="48"/>
      <c r="K105" s="48"/>
      <c r="L105" s="24"/>
      <c r="M105" s="52"/>
      <c r="N105" s="156"/>
      <c r="O105" s="157"/>
      <c r="P105" s="158"/>
      <c r="Q105" s="159"/>
    </row>
    <row r="106" spans="1:23" ht="86.25" customHeight="1" thickBot="1">
      <c r="A106" s="44" t="s">
        <v>154</v>
      </c>
      <c r="B106" s="605" t="s">
        <v>155</v>
      </c>
      <c r="C106" s="53" t="s">
        <v>21</v>
      </c>
      <c r="D106" s="160">
        <f>D107</f>
        <v>3226.3175900000001</v>
      </c>
      <c r="E106" s="160">
        <f>E107</f>
        <v>3226.3175900000001</v>
      </c>
      <c r="F106" s="21">
        <f t="shared" si="9"/>
        <v>1</v>
      </c>
      <c r="G106" s="70">
        <f t="shared" si="6"/>
        <v>1</v>
      </c>
      <c r="H106" s="47">
        <f>I106+J106+K106</f>
        <v>90</v>
      </c>
      <c r="I106" s="23">
        <f t="shared" si="7"/>
        <v>25</v>
      </c>
      <c r="J106" s="72">
        <f>IF([1]!Таблица256[[#This Row],[% экономии при выполнении программ/подпрограмм]],10,0)</f>
        <v>10</v>
      </c>
      <c r="K106" s="72">
        <f t="shared" si="8"/>
        <v>55</v>
      </c>
      <c r="L106" s="24">
        <f>IF(SUM(M107:Y107)=SUM(M108:Y108),1,2)</f>
        <v>1</v>
      </c>
      <c r="M106" s="67" t="s">
        <v>14</v>
      </c>
      <c r="N106" s="161" t="s">
        <v>156</v>
      </c>
      <c r="O106" s="162" t="s">
        <v>157</v>
      </c>
      <c r="P106" s="163"/>
    </row>
    <row r="107" spans="1:23" ht="32.25" thickBot="1">
      <c r="A107" s="44"/>
      <c r="B107" s="605"/>
      <c r="C107" s="53" t="s">
        <v>23</v>
      </c>
      <c r="D107" s="160">
        <v>3226.3175900000001</v>
      </c>
      <c r="E107" s="160">
        <v>3226.3175900000001</v>
      </c>
      <c r="F107" s="21"/>
      <c r="G107" s="70"/>
      <c r="H107" s="71"/>
      <c r="I107" s="23"/>
      <c r="J107" s="72"/>
      <c r="K107" s="72"/>
      <c r="L107" s="24"/>
      <c r="M107" s="124" t="s">
        <v>22</v>
      </c>
      <c r="N107" s="90">
        <v>1864.2149999999999</v>
      </c>
      <c r="O107" s="17" t="s">
        <v>158</v>
      </c>
      <c r="P107" s="164"/>
    </row>
    <row r="108" spans="1:23" ht="32.25" thickBot="1">
      <c r="A108" s="83"/>
      <c r="B108" s="606"/>
      <c r="C108" s="94" t="s">
        <v>25</v>
      </c>
      <c r="D108" s="165">
        <v>0</v>
      </c>
      <c r="E108" s="165">
        <v>0</v>
      </c>
      <c r="F108" s="59"/>
      <c r="G108" s="95"/>
      <c r="H108" s="96"/>
      <c r="I108" s="62"/>
      <c r="J108" s="97"/>
      <c r="K108" s="97"/>
      <c r="L108" s="64"/>
      <c r="M108" s="136" t="s">
        <v>24</v>
      </c>
      <c r="N108" s="90">
        <v>1864.2149999999999</v>
      </c>
      <c r="O108" s="17" t="s">
        <v>159</v>
      </c>
      <c r="P108" s="166"/>
    </row>
    <row r="109" spans="1:23" ht="38.25" customHeight="1" thickBot="1">
      <c r="A109" s="7">
        <v>7</v>
      </c>
      <c r="B109" s="580" t="s">
        <v>160</v>
      </c>
      <c r="C109" s="8" t="s">
        <v>21</v>
      </c>
      <c r="D109" s="8">
        <f>D118+D121</f>
        <v>1675.5648000000001</v>
      </c>
      <c r="E109" s="8">
        <f t="shared" ref="D109:E111" si="11">E114+E118+E121</f>
        <v>1675.5648000000001</v>
      </c>
      <c r="F109" s="10">
        <f t="shared" si="9"/>
        <v>1</v>
      </c>
      <c r="G109" s="10">
        <f t="shared" si="6"/>
        <v>1</v>
      </c>
      <c r="H109" s="167">
        <f>(H118*E118+H121*E121)/E109</f>
        <v>89.999999999999986</v>
      </c>
      <c r="I109" s="12"/>
      <c r="J109" s="12"/>
      <c r="K109" s="12"/>
      <c r="L109" s="13">
        <f>IF(SUM(M112:Y112)=SUM(M111:Y111),1,2)</f>
        <v>2</v>
      </c>
      <c r="N109" s="2"/>
      <c r="O109" s="3"/>
    </row>
    <row r="110" spans="1:23" ht="134.25" customHeight="1" thickBot="1">
      <c r="A110" s="18"/>
      <c r="B110" s="584"/>
      <c r="C110" s="19" t="s">
        <v>23</v>
      </c>
      <c r="D110" s="19">
        <f t="shared" si="11"/>
        <v>33.143039999999999</v>
      </c>
      <c r="E110" s="19">
        <f t="shared" si="11"/>
        <v>33.143039999999999</v>
      </c>
      <c r="F110" s="21">
        <f t="shared" si="9"/>
        <v>1</v>
      </c>
      <c r="G110" s="21">
        <f t="shared" si="6"/>
        <v>1</v>
      </c>
      <c r="H110" s="22"/>
      <c r="I110" s="23"/>
      <c r="J110" s="23"/>
      <c r="K110" s="23"/>
      <c r="L110" s="24">
        <f>IF(SUM(M111:Y111)=SUM(M112:Y112),1,2)</f>
        <v>2</v>
      </c>
      <c r="M110" s="67" t="s">
        <v>161</v>
      </c>
      <c r="N110" s="154" t="s">
        <v>162</v>
      </c>
      <c r="O110" s="146" t="s">
        <v>163</v>
      </c>
      <c r="P110" s="146" t="s">
        <v>164</v>
      </c>
      <c r="Q110" s="168" t="s">
        <v>165</v>
      </c>
      <c r="R110" s="168" t="s">
        <v>166</v>
      </c>
      <c r="S110" s="168" t="s">
        <v>167</v>
      </c>
      <c r="T110" s="168" t="s">
        <v>168</v>
      </c>
      <c r="U110" s="168" t="s">
        <v>169</v>
      </c>
      <c r="V110" s="168" t="s">
        <v>170</v>
      </c>
      <c r="W110" s="169" t="s">
        <v>171</v>
      </c>
    </row>
    <row r="111" spans="1:23" ht="31.5">
      <c r="A111" s="18"/>
      <c r="B111" s="584"/>
      <c r="C111" s="19" t="s">
        <v>25</v>
      </c>
      <c r="D111" s="19">
        <f t="shared" si="11"/>
        <v>1642.4217599999999</v>
      </c>
      <c r="E111" s="19">
        <f t="shared" si="11"/>
        <v>1642.4217599999999</v>
      </c>
      <c r="F111" s="21"/>
      <c r="G111" s="21"/>
      <c r="H111" s="22"/>
      <c r="I111" s="23"/>
      <c r="J111" s="23"/>
      <c r="K111" s="23"/>
      <c r="L111" s="24"/>
      <c r="M111" s="170" t="s">
        <v>22</v>
      </c>
      <c r="N111" s="90">
        <v>28.7</v>
      </c>
      <c r="O111" s="16">
        <v>1</v>
      </c>
      <c r="P111" s="17">
        <v>1</v>
      </c>
      <c r="Q111" s="171">
        <v>14</v>
      </c>
      <c r="R111" s="171">
        <v>5.8</v>
      </c>
      <c r="S111" s="127">
        <v>67</v>
      </c>
      <c r="T111" s="171">
        <v>0</v>
      </c>
      <c r="U111" s="171">
        <v>75</v>
      </c>
      <c r="V111" s="17">
        <v>0</v>
      </c>
      <c r="W111" s="171">
        <v>1</v>
      </c>
    </row>
    <row r="112" spans="1:23" ht="32.25" thickBot="1">
      <c r="A112" s="18"/>
      <c r="B112" s="584"/>
      <c r="C112" s="19" t="s">
        <v>50</v>
      </c>
      <c r="D112" s="19">
        <v>0</v>
      </c>
      <c r="E112" s="172">
        <v>0</v>
      </c>
      <c r="F112" s="21"/>
      <c r="G112" s="21"/>
      <c r="H112" s="22"/>
      <c r="I112" s="23"/>
      <c r="J112" s="23"/>
      <c r="K112" s="23"/>
      <c r="L112" s="24"/>
      <c r="M112" s="91" t="s">
        <v>24</v>
      </c>
      <c r="N112" s="92">
        <v>28.7</v>
      </c>
      <c r="O112" s="27">
        <v>1</v>
      </c>
      <c r="P112" s="28">
        <v>1</v>
      </c>
      <c r="Q112" s="28">
        <v>0</v>
      </c>
      <c r="R112" s="173">
        <v>5.8</v>
      </c>
      <c r="S112" s="131">
        <v>92</v>
      </c>
      <c r="T112" s="28">
        <v>0</v>
      </c>
      <c r="U112" s="173">
        <v>75</v>
      </c>
      <c r="V112" s="28">
        <v>0</v>
      </c>
      <c r="W112" s="173">
        <v>1</v>
      </c>
    </row>
    <row r="113" spans="1:23" ht="66.75" thickBot="1">
      <c r="A113" s="29"/>
      <c r="B113" s="581"/>
      <c r="C113" s="174" t="s">
        <v>172</v>
      </c>
      <c r="D113" s="174">
        <v>0</v>
      </c>
      <c r="E113" s="174">
        <v>0</v>
      </c>
      <c r="F113" s="32"/>
      <c r="G113" s="32"/>
      <c r="H113" s="33"/>
      <c r="I113" s="34"/>
      <c r="J113" s="34"/>
      <c r="K113" s="34"/>
      <c r="L113" s="35"/>
      <c r="M113" s="175"/>
      <c r="N113" s="50"/>
      <c r="O113" s="51"/>
      <c r="P113" s="114"/>
      <c r="Q113" s="114"/>
      <c r="R113" s="114"/>
      <c r="S113" s="114"/>
      <c r="T113" s="114"/>
      <c r="U113" s="114"/>
      <c r="V113" s="114"/>
      <c r="W113" s="114"/>
    </row>
    <row r="114" spans="1:23" ht="51.75" customHeight="1">
      <c r="A114" s="36" t="s">
        <v>173</v>
      </c>
      <c r="B114" s="618" t="s">
        <v>174</v>
      </c>
      <c r="C114" s="176" t="s">
        <v>21</v>
      </c>
      <c r="D114" s="614" t="s">
        <v>61</v>
      </c>
      <c r="E114" s="615"/>
      <c r="F114" s="615"/>
      <c r="G114" s="615"/>
      <c r="H114" s="615"/>
      <c r="I114" s="615"/>
      <c r="J114" s="615"/>
      <c r="K114" s="615"/>
      <c r="L114" s="616"/>
      <c r="M114" s="175"/>
      <c r="N114" s="50"/>
      <c r="O114" s="51"/>
      <c r="P114" s="114"/>
      <c r="Q114" s="114"/>
      <c r="R114" s="114"/>
      <c r="S114" s="114"/>
      <c r="T114" s="114"/>
      <c r="U114" s="114"/>
      <c r="V114" s="114"/>
      <c r="W114" s="114"/>
    </row>
    <row r="115" spans="1:23" ht="33">
      <c r="A115" s="44"/>
      <c r="B115" s="609"/>
      <c r="C115" s="177" t="s">
        <v>23</v>
      </c>
      <c r="D115" s="177">
        <v>0</v>
      </c>
      <c r="E115" s="177">
        <v>0</v>
      </c>
      <c r="F115" s="21"/>
      <c r="G115" s="46"/>
      <c r="H115" s="47"/>
      <c r="I115" s="23"/>
      <c r="J115" s="48"/>
      <c r="K115" s="48"/>
      <c r="L115" s="24"/>
      <c r="N115" s="50"/>
      <c r="O115" s="51"/>
      <c r="P115" s="114"/>
      <c r="Q115" s="114"/>
      <c r="R115" s="114"/>
      <c r="S115" s="114"/>
      <c r="T115" s="114"/>
      <c r="U115" s="114"/>
      <c r="V115" s="114"/>
      <c r="W115" s="114"/>
    </row>
    <row r="116" spans="1:23" ht="33">
      <c r="A116" s="44"/>
      <c r="B116" s="609"/>
      <c r="C116" s="177" t="s">
        <v>25</v>
      </c>
      <c r="D116" s="177">
        <v>0</v>
      </c>
      <c r="E116" s="177">
        <v>0</v>
      </c>
      <c r="F116" s="21"/>
      <c r="G116" s="46"/>
      <c r="H116" s="47"/>
      <c r="I116" s="23"/>
      <c r="J116" s="48"/>
      <c r="K116" s="48"/>
      <c r="L116" s="24"/>
      <c r="N116" s="2"/>
      <c r="O116" s="3"/>
    </row>
    <row r="117" spans="1:23" ht="50.25" thickBot="1">
      <c r="A117" s="44"/>
      <c r="B117" s="609"/>
      <c r="C117" s="177" t="s">
        <v>172</v>
      </c>
      <c r="D117" s="177">
        <v>0</v>
      </c>
      <c r="E117" s="177">
        <v>0</v>
      </c>
      <c r="F117" s="21"/>
      <c r="G117" s="46"/>
      <c r="H117" s="47"/>
      <c r="I117" s="23"/>
      <c r="J117" s="48"/>
      <c r="K117" s="48"/>
      <c r="L117" s="24"/>
      <c r="N117" s="2"/>
      <c r="O117" s="3"/>
    </row>
    <row r="118" spans="1:23" ht="135.75" thickBot="1">
      <c r="A118" s="44" t="s">
        <v>175</v>
      </c>
      <c r="B118" s="605" t="s">
        <v>176</v>
      </c>
      <c r="C118" s="45" t="s">
        <v>21</v>
      </c>
      <c r="D118" s="45">
        <f>D119+D120</f>
        <v>662.86080000000004</v>
      </c>
      <c r="E118" s="45">
        <f>E119+E120</f>
        <v>662.86080000000004</v>
      </c>
      <c r="F118" s="21">
        <f t="shared" si="9"/>
        <v>1</v>
      </c>
      <c r="G118" s="74">
        <f t="shared" si="6"/>
        <v>1</v>
      </c>
      <c r="H118" s="47">
        <f>I118+J118+K118</f>
        <v>90</v>
      </c>
      <c r="I118" s="23">
        <f t="shared" si="7"/>
        <v>25</v>
      </c>
      <c r="J118" s="76">
        <f>IF([1]!Таблица256[[#This Row],[% экономии при выполнении программ/подпрограмм]],10,0)</f>
        <v>10</v>
      </c>
      <c r="K118" s="76">
        <f t="shared" si="8"/>
        <v>55</v>
      </c>
      <c r="L118" s="24">
        <f>IF(SUM(M119:Y119)=SUM(M120:Y120),1,2)</f>
        <v>1</v>
      </c>
      <c r="M118" s="67" t="s">
        <v>161</v>
      </c>
      <c r="N118" s="147" t="s">
        <v>163</v>
      </c>
      <c r="O118" s="3"/>
    </row>
    <row r="119" spans="1:23" ht="33">
      <c r="A119" s="44"/>
      <c r="B119" s="605"/>
      <c r="C119" s="45" t="s">
        <v>23</v>
      </c>
      <c r="D119" s="54">
        <v>33.143039999999999</v>
      </c>
      <c r="E119" s="54">
        <v>33.143039999999999</v>
      </c>
      <c r="F119" s="21"/>
      <c r="G119" s="74"/>
      <c r="H119" s="47"/>
      <c r="I119" s="23"/>
      <c r="J119" s="76"/>
      <c r="K119" s="76"/>
      <c r="L119" s="24"/>
      <c r="M119" s="170" t="s">
        <v>22</v>
      </c>
      <c r="N119" s="16">
        <v>1</v>
      </c>
      <c r="O119" s="3"/>
    </row>
    <row r="120" spans="1:23" ht="33.75" thickBot="1">
      <c r="A120" s="44"/>
      <c r="B120" s="605"/>
      <c r="C120" s="45" t="s">
        <v>25</v>
      </c>
      <c r="D120" s="54">
        <v>629.71776</v>
      </c>
      <c r="E120" s="54">
        <v>629.71776</v>
      </c>
      <c r="F120" s="21"/>
      <c r="G120" s="74"/>
      <c r="H120" s="47"/>
      <c r="I120" s="23"/>
      <c r="J120" s="76"/>
      <c r="K120" s="76"/>
      <c r="L120" s="24"/>
      <c r="M120" s="91" t="s">
        <v>24</v>
      </c>
      <c r="N120" s="16">
        <v>1</v>
      </c>
      <c r="O120" s="3"/>
    </row>
    <row r="121" spans="1:23" ht="44.25" customHeight="1">
      <c r="A121" s="44" t="s">
        <v>177</v>
      </c>
      <c r="B121" s="583" t="s">
        <v>178</v>
      </c>
      <c r="C121" s="53" t="s">
        <v>21</v>
      </c>
      <c r="D121" s="54">
        <v>1012.704</v>
      </c>
      <c r="E121" s="54">
        <v>1012.704</v>
      </c>
      <c r="F121" s="21">
        <f t="shared" si="9"/>
        <v>1</v>
      </c>
      <c r="G121" s="46">
        <f t="shared" si="6"/>
        <v>1</v>
      </c>
      <c r="H121" s="47">
        <f>I121+J121+K121</f>
        <v>90</v>
      </c>
      <c r="I121" s="23">
        <f t="shared" si="7"/>
        <v>25</v>
      </c>
      <c r="J121" s="48">
        <f>IF([1]!Таблица256[[#This Row],[% экономии при выполнении программ/подпрограмм]],10,0)</f>
        <v>10</v>
      </c>
      <c r="K121" s="48">
        <f t="shared" si="8"/>
        <v>55</v>
      </c>
      <c r="L121" s="24">
        <f>IF(SUM(M119:Y119)=SUM(M120:Y120),1,2)</f>
        <v>1</v>
      </c>
      <c r="M121" s="178"/>
      <c r="N121" s="2"/>
      <c r="O121" s="3"/>
    </row>
    <row r="122" spans="1:23" ht="31.5">
      <c r="A122" s="44"/>
      <c r="B122" s="583"/>
      <c r="C122" s="53" t="s">
        <v>23</v>
      </c>
      <c r="D122" s="54">
        <v>0</v>
      </c>
      <c r="E122" s="45">
        <v>0</v>
      </c>
      <c r="F122" s="21"/>
      <c r="G122" s="46"/>
      <c r="H122" s="47"/>
      <c r="I122" s="23"/>
      <c r="J122" s="48"/>
      <c r="K122" s="48"/>
      <c r="L122" s="24"/>
      <c r="N122" s="2"/>
      <c r="O122" s="3"/>
    </row>
    <row r="123" spans="1:23" ht="31.5">
      <c r="A123" s="44"/>
      <c r="B123" s="583"/>
      <c r="C123" s="53" t="s">
        <v>25</v>
      </c>
      <c r="D123" s="54">
        <v>1012.704</v>
      </c>
      <c r="E123" s="54">
        <v>1012.704</v>
      </c>
      <c r="F123" s="21"/>
      <c r="G123" s="46"/>
      <c r="H123" s="47"/>
      <c r="I123" s="23"/>
      <c r="J123" s="48"/>
      <c r="K123" s="48"/>
      <c r="L123" s="24"/>
      <c r="N123" s="2"/>
      <c r="O123" s="3"/>
    </row>
    <row r="124" spans="1:23" ht="31.5">
      <c r="A124" s="44"/>
      <c r="B124" s="583"/>
      <c r="C124" s="53" t="s">
        <v>50</v>
      </c>
      <c r="D124" s="53">
        <v>0</v>
      </c>
      <c r="E124" s="45">
        <v>0</v>
      </c>
      <c r="F124" s="21"/>
      <c r="G124" s="46"/>
      <c r="H124" s="47"/>
      <c r="I124" s="23"/>
      <c r="J124" s="48"/>
      <c r="K124" s="48"/>
      <c r="L124" s="24"/>
      <c r="N124" s="2"/>
      <c r="O124" s="3"/>
    </row>
    <row r="125" spans="1:23" ht="50.25" thickBot="1">
      <c r="A125" s="83"/>
      <c r="B125" s="602"/>
      <c r="C125" s="58" t="s">
        <v>172</v>
      </c>
      <c r="D125" s="58">
        <v>0</v>
      </c>
      <c r="E125" s="58">
        <v>0</v>
      </c>
      <c r="F125" s="59"/>
      <c r="G125" s="60"/>
      <c r="H125" s="61"/>
      <c r="I125" s="62"/>
      <c r="J125" s="63"/>
      <c r="K125" s="63"/>
      <c r="L125" s="64"/>
      <c r="N125" s="2"/>
      <c r="O125" s="3"/>
    </row>
    <row r="126" spans="1:23" ht="108.75" customHeight="1" thickBot="1">
      <c r="A126" s="7">
        <v>8</v>
      </c>
      <c r="B126" s="580" t="s">
        <v>179</v>
      </c>
      <c r="C126" s="8" t="s">
        <v>21</v>
      </c>
      <c r="D126" s="179">
        <f>D129+D132+D134+D138</f>
        <v>685.28399999999999</v>
      </c>
      <c r="E126" s="180">
        <f>E129+E132+E134+E136+E138</f>
        <v>685.28399999999999</v>
      </c>
      <c r="F126" s="10">
        <f t="shared" si="9"/>
        <v>1</v>
      </c>
      <c r="G126" s="10">
        <f t="shared" si="6"/>
        <v>1</v>
      </c>
      <c r="H126" s="181">
        <f>(H129*E129+H132*E132+H134*E134+H138*E138)/[1]!Таблица256[[#This Row],[Кассовые расходы ]]</f>
        <v>45</v>
      </c>
      <c r="I126" s="12"/>
      <c r="J126" s="12"/>
      <c r="K126" s="12"/>
      <c r="L126" s="13">
        <f>IF(SUM(M127:Y127)=SUM(M128:Y128),1,2)</f>
        <v>2</v>
      </c>
      <c r="M126" s="67" t="s">
        <v>14</v>
      </c>
      <c r="N126" s="154" t="s">
        <v>180</v>
      </c>
      <c r="O126" s="182" t="s">
        <v>181</v>
      </c>
      <c r="P126" s="182" t="s">
        <v>182</v>
      </c>
      <c r="Q126" s="182" t="s">
        <v>183</v>
      </c>
      <c r="R126" s="182" t="s">
        <v>184</v>
      </c>
      <c r="S126" s="183" t="s">
        <v>185</v>
      </c>
      <c r="T126" s="184" t="s">
        <v>186</v>
      </c>
    </row>
    <row r="127" spans="1:23" ht="27" customHeight="1">
      <c r="A127" s="18"/>
      <c r="B127" s="584"/>
      <c r="C127" s="19" t="s">
        <v>23</v>
      </c>
      <c r="D127" s="179">
        <f>D130+D135+D137+D140+D133</f>
        <v>685.28400000000011</v>
      </c>
      <c r="E127" s="179">
        <f>E130+E135+E137+E140+E133</f>
        <v>685.28400000000011</v>
      </c>
      <c r="F127" s="21">
        <f t="shared" si="9"/>
        <v>1</v>
      </c>
      <c r="G127" s="21">
        <f t="shared" si="6"/>
        <v>1</v>
      </c>
      <c r="H127" s="47"/>
      <c r="I127" s="23"/>
      <c r="J127" s="23"/>
      <c r="K127" s="23"/>
      <c r="L127" s="24"/>
      <c r="M127" s="89" t="s">
        <v>22</v>
      </c>
      <c r="N127" s="125">
        <v>1</v>
      </c>
      <c r="O127" s="185" t="s">
        <v>187</v>
      </c>
      <c r="P127" s="164">
        <v>9</v>
      </c>
      <c r="Q127" s="164">
        <v>100</v>
      </c>
      <c r="R127" s="186">
        <v>85</v>
      </c>
      <c r="S127" s="164">
        <v>2</v>
      </c>
      <c r="T127" s="164">
        <v>9</v>
      </c>
    </row>
    <row r="128" spans="1:23" ht="24" customHeight="1" thickBot="1">
      <c r="A128" s="29"/>
      <c r="B128" s="581"/>
      <c r="C128" s="30" t="s">
        <v>25</v>
      </c>
      <c r="D128" s="30"/>
      <c r="E128" s="30"/>
      <c r="F128" s="32" t="e">
        <f t="shared" si="9"/>
        <v>#DIV/0!</v>
      </c>
      <c r="G128" s="32" t="e">
        <f t="shared" si="6"/>
        <v>#DIV/0!</v>
      </c>
      <c r="H128" s="79"/>
      <c r="I128" s="34"/>
      <c r="J128" s="34"/>
      <c r="K128" s="34"/>
      <c r="L128" s="35"/>
      <c r="M128" s="91" t="s">
        <v>24</v>
      </c>
      <c r="N128" s="187">
        <v>0</v>
      </c>
      <c r="O128" s="188" t="s">
        <v>187</v>
      </c>
      <c r="P128" s="166">
        <v>9</v>
      </c>
      <c r="Q128" s="166">
        <v>100</v>
      </c>
      <c r="R128" s="189">
        <v>58</v>
      </c>
      <c r="S128" s="166">
        <v>2</v>
      </c>
      <c r="T128" s="166">
        <v>9</v>
      </c>
    </row>
    <row r="129" spans="1:23" ht="38.25" customHeight="1">
      <c r="A129" s="36" t="s">
        <v>188</v>
      </c>
      <c r="B129" s="617" t="s">
        <v>189</v>
      </c>
      <c r="C129" s="190" t="s">
        <v>21</v>
      </c>
      <c r="D129" s="190">
        <f>D130</f>
        <v>505.084</v>
      </c>
      <c r="E129" s="190">
        <f>E130</f>
        <v>505.084</v>
      </c>
      <c r="F129" s="38">
        <f t="shared" si="9"/>
        <v>1</v>
      </c>
      <c r="G129" s="39">
        <f t="shared" si="6"/>
        <v>1</v>
      </c>
      <c r="H129" s="40">
        <f>I129+J129+K129</f>
        <v>45</v>
      </c>
      <c r="I129" s="41">
        <f t="shared" si="7"/>
        <v>25</v>
      </c>
      <c r="J129" s="42">
        <f>IF([1]!Таблица256[[#This Row],[% экономии при выполнении программ/подпрограмм]],10,0)</f>
        <v>10</v>
      </c>
      <c r="K129" s="42">
        <f t="shared" si="8"/>
        <v>10</v>
      </c>
      <c r="L129" s="43">
        <f>IF(SUM(M127:Y127)=SUM(M128:Y128),1,2)</f>
        <v>2</v>
      </c>
      <c r="N129" s="2"/>
      <c r="O129" s="3"/>
    </row>
    <row r="130" spans="1:23" ht="33">
      <c r="A130" s="44"/>
      <c r="B130" s="608"/>
      <c r="C130" s="115" t="s">
        <v>23</v>
      </c>
      <c r="D130" s="191">
        <v>505.084</v>
      </c>
      <c r="E130" s="191">
        <v>505.084</v>
      </c>
      <c r="F130" s="21"/>
      <c r="G130" s="46"/>
      <c r="H130" s="47"/>
      <c r="I130" s="23"/>
      <c r="J130" s="48"/>
      <c r="K130" s="48"/>
      <c r="L130" s="24"/>
      <c r="N130" s="2"/>
      <c r="O130" s="3"/>
    </row>
    <row r="131" spans="1:23" ht="33">
      <c r="A131" s="44"/>
      <c r="B131" s="608"/>
      <c r="C131" s="115" t="s">
        <v>25</v>
      </c>
      <c r="D131" s="115"/>
      <c r="E131" s="115"/>
      <c r="F131" s="21"/>
      <c r="G131" s="46"/>
      <c r="H131" s="47"/>
      <c r="I131" s="23"/>
      <c r="J131" s="48"/>
      <c r="K131" s="48"/>
      <c r="L131" s="24"/>
      <c r="N131" s="2"/>
      <c r="O131" s="3"/>
    </row>
    <row r="132" spans="1:23" ht="39.75" customHeight="1">
      <c r="A132" s="44" t="s">
        <v>190</v>
      </c>
      <c r="B132" s="608" t="s">
        <v>191</v>
      </c>
      <c r="C132" s="115" t="s">
        <v>21</v>
      </c>
      <c r="D132" s="115">
        <f>D133</f>
        <v>60.2</v>
      </c>
      <c r="E132" s="115">
        <v>60.2</v>
      </c>
      <c r="F132" s="21">
        <f t="shared" ref="F132:F195" si="12">E132/D132*100%</f>
        <v>1</v>
      </c>
      <c r="G132" s="46">
        <f t="shared" ref="G132:G193" si="13">E132/D132*100%</f>
        <v>1</v>
      </c>
      <c r="H132" s="47">
        <f>I132+J132+K132</f>
        <v>45</v>
      </c>
      <c r="I132" s="23">
        <f t="shared" ref="I132:I191" si="14">IF(G132=1,25,IF((G132&gt;0.9)*(G132&lt;1),0,IF((G132&gt;0.7)*(G132&lt;0.9),-10,-25)))</f>
        <v>25</v>
      </c>
      <c r="J132" s="48">
        <f>IF([1]!Таблица256[[#This Row],[% экономии при выполнении программ/подпрограмм]],10,0)</f>
        <v>10</v>
      </c>
      <c r="K132" s="48">
        <f t="shared" ref="K132:K191" si="15">IF(L132=1,55,10)</f>
        <v>10</v>
      </c>
      <c r="L132" s="24">
        <f>IF(SUM(M127:Y127)=SUM(M128:Y128),1,2)</f>
        <v>2</v>
      </c>
      <c r="N132" s="2"/>
      <c r="O132" s="3"/>
    </row>
    <row r="133" spans="1:23" ht="33">
      <c r="A133" s="44"/>
      <c r="B133" s="608"/>
      <c r="C133" s="115" t="s">
        <v>23</v>
      </c>
      <c r="D133" s="54">
        <v>60.2</v>
      </c>
      <c r="E133" s="115">
        <v>60.2</v>
      </c>
      <c r="F133" s="21"/>
      <c r="G133" s="46"/>
      <c r="H133" s="47"/>
      <c r="I133" s="23"/>
      <c r="J133" s="48"/>
      <c r="K133" s="48"/>
      <c r="L133" s="24"/>
      <c r="N133" s="2"/>
      <c r="O133" s="3"/>
    </row>
    <row r="134" spans="1:23" ht="32.25" customHeight="1">
      <c r="A134" s="44" t="s">
        <v>192</v>
      </c>
      <c r="B134" s="608" t="s">
        <v>193</v>
      </c>
      <c r="C134" s="115" t="s">
        <v>21</v>
      </c>
      <c r="D134" s="115">
        <f>D135</f>
        <v>60</v>
      </c>
      <c r="E134" s="115">
        <f>E135</f>
        <v>60</v>
      </c>
      <c r="F134" s="21">
        <f t="shared" si="12"/>
        <v>1</v>
      </c>
      <c r="G134" s="74">
        <f t="shared" si="13"/>
        <v>1</v>
      </c>
      <c r="H134" s="47">
        <f>I134+J134+K134</f>
        <v>45</v>
      </c>
      <c r="I134" s="23">
        <f t="shared" si="14"/>
        <v>25</v>
      </c>
      <c r="J134" s="76">
        <f>IF([1]!Таблица256[[#This Row],[% экономии при выполнении программ/подпрограмм]],10,0)</f>
        <v>10</v>
      </c>
      <c r="K134" s="76">
        <f t="shared" si="15"/>
        <v>10</v>
      </c>
      <c r="L134" s="24">
        <f>IF(SUM(M127:Y127)=SUM(M128:Y128),1,2)</f>
        <v>2</v>
      </c>
      <c r="N134" s="2"/>
      <c r="O134" s="3"/>
    </row>
    <row r="135" spans="1:23" ht="33">
      <c r="A135" s="44"/>
      <c r="B135" s="608"/>
      <c r="C135" s="115" t="s">
        <v>23</v>
      </c>
      <c r="D135" s="115">
        <v>60</v>
      </c>
      <c r="E135" s="115">
        <v>60</v>
      </c>
      <c r="F135" s="21"/>
      <c r="G135" s="46"/>
      <c r="H135" s="47"/>
      <c r="I135" s="23"/>
      <c r="J135" s="48"/>
      <c r="K135" s="48"/>
      <c r="L135" s="24"/>
      <c r="N135" s="2"/>
      <c r="O135" s="3"/>
    </row>
    <row r="136" spans="1:23" ht="50.25" customHeight="1">
      <c r="A136" s="44" t="s">
        <v>194</v>
      </c>
      <c r="B136" s="609" t="s">
        <v>195</v>
      </c>
      <c r="C136" s="177" t="s">
        <v>21</v>
      </c>
      <c r="D136" s="610" t="s">
        <v>61</v>
      </c>
      <c r="E136" s="611"/>
      <c r="F136" s="611"/>
      <c r="G136" s="611"/>
      <c r="H136" s="611"/>
      <c r="I136" s="611"/>
      <c r="J136" s="611"/>
      <c r="K136" s="611"/>
      <c r="L136" s="612"/>
      <c r="N136" s="2"/>
      <c r="O136" s="3"/>
    </row>
    <row r="137" spans="1:23" ht="27" customHeight="1">
      <c r="A137" s="44"/>
      <c r="B137" s="609"/>
      <c r="C137" s="177" t="s">
        <v>23</v>
      </c>
      <c r="D137" s="177">
        <v>0</v>
      </c>
      <c r="E137" s="177">
        <v>0</v>
      </c>
      <c r="F137" s="21"/>
      <c r="G137" s="46"/>
      <c r="H137" s="47"/>
      <c r="I137" s="23"/>
      <c r="J137" s="48"/>
      <c r="K137" s="48"/>
      <c r="L137" s="24"/>
      <c r="N137" s="2"/>
      <c r="O137" s="3"/>
    </row>
    <row r="138" spans="1:23" ht="16.5">
      <c r="A138" s="44" t="s">
        <v>196</v>
      </c>
      <c r="B138" s="608" t="s">
        <v>197</v>
      </c>
      <c r="C138" s="115" t="s">
        <v>21</v>
      </c>
      <c r="D138" s="115">
        <f>D140</f>
        <v>60</v>
      </c>
      <c r="E138" s="115">
        <f>E140</f>
        <v>60</v>
      </c>
      <c r="F138" s="21">
        <f t="shared" si="12"/>
        <v>1</v>
      </c>
      <c r="G138" s="46">
        <f t="shared" si="13"/>
        <v>1</v>
      </c>
      <c r="H138" s="47">
        <f>I138+J138+K138</f>
        <v>45</v>
      </c>
      <c r="I138" s="23">
        <f t="shared" si="14"/>
        <v>25</v>
      </c>
      <c r="J138" s="48">
        <f>IF([1]!Таблица256[[#This Row],[% экономии при выполнении программ/подпрограмм]],10,0)</f>
        <v>10</v>
      </c>
      <c r="K138" s="48">
        <f t="shared" si="15"/>
        <v>10</v>
      </c>
      <c r="L138" s="24">
        <f>IF(SUM(M127:Y127)=SUM(M128:Y128),1,2)</f>
        <v>2</v>
      </c>
      <c r="N138" s="2"/>
      <c r="O138" s="3"/>
    </row>
    <row r="139" spans="1:23" ht="9" customHeight="1">
      <c r="A139" s="44"/>
      <c r="B139" s="608"/>
      <c r="C139" s="115"/>
      <c r="D139" s="115"/>
      <c r="E139" s="115"/>
      <c r="F139" s="21"/>
      <c r="G139" s="46"/>
      <c r="H139" s="47"/>
      <c r="I139" s="23"/>
      <c r="J139" s="48"/>
      <c r="K139" s="48"/>
      <c r="L139" s="24"/>
      <c r="N139" s="2"/>
      <c r="O139" s="3"/>
    </row>
    <row r="140" spans="1:23" ht="33.75" thickBot="1">
      <c r="A140" s="83"/>
      <c r="B140" s="613"/>
      <c r="C140" s="192" t="s">
        <v>23</v>
      </c>
      <c r="D140" s="192">
        <v>60</v>
      </c>
      <c r="E140" s="192">
        <v>60</v>
      </c>
      <c r="F140" s="59"/>
      <c r="G140" s="60"/>
      <c r="H140" s="61"/>
      <c r="I140" s="62"/>
      <c r="J140" s="63"/>
      <c r="K140" s="63"/>
      <c r="L140" s="64"/>
      <c r="N140" s="2"/>
      <c r="O140" s="3"/>
    </row>
    <row r="141" spans="1:23" ht="117.75" customHeight="1" thickBot="1">
      <c r="A141" s="7">
        <v>9</v>
      </c>
      <c r="B141" s="580" t="s">
        <v>198</v>
      </c>
      <c r="C141" s="8" t="s">
        <v>21</v>
      </c>
      <c r="D141" s="193">
        <f>D145+D147+D151</f>
        <v>3732.2280000000001</v>
      </c>
      <c r="E141" s="193">
        <f>E145+E147+E151</f>
        <v>3732.2280000000001</v>
      </c>
      <c r="F141" s="10">
        <f t="shared" si="12"/>
        <v>1</v>
      </c>
      <c r="G141" s="10">
        <f t="shared" si="13"/>
        <v>1</v>
      </c>
      <c r="H141" s="194">
        <f>(H145*E145+H147*E147+H151*E151)/E141</f>
        <v>89.999999999999986</v>
      </c>
      <c r="I141" s="12"/>
      <c r="J141" s="12"/>
      <c r="K141" s="12"/>
      <c r="L141" s="13">
        <f>IF(SUM(M144:Y144)=SUM(M143:Y143),1,2)</f>
        <v>2</v>
      </c>
      <c r="M141" s="67" t="s">
        <v>161</v>
      </c>
      <c r="N141" s="154" t="s">
        <v>199</v>
      </c>
      <c r="O141" s="146" t="s">
        <v>200</v>
      </c>
      <c r="P141" s="146" t="s">
        <v>201</v>
      </c>
      <c r="Q141" s="168" t="s">
        <v>202</v>
      </c>
      <c r="R141" s="168" t="s">
        <v>203</v>
      </c>
      <c r="S141" s="168" t="s">
        <v>204</v>
      </c>
      <c r="T141" s="168" t="s">
        <v>205</v>
      </c>
      <c r="U141" s="168" t="s">
        <v>206</v>
      </c>
      <c r="V141" s="168" t="s">
        <v>207</v>
      </c>
      <c r="W141" s="169" t="s">
        <v>208</v>
      </c>
    </row>
    <row r="142" spans="1:23" ht="31.5">
      <c r="A142" s="18"/>
      <c r="B142" s="584"/>
      <c r="C142" s="19" t="s">
        <v>23</v>
      </c>
      <c r="D142" s="195">
        <f>D146+D148</f>
        <v>2461.8690000000001</v>
      </c>
      <c r="E142" s="195">
        <f>E146+E148</f>
        <v>2461.8690000000001</v>
      </c>
      <c r="F142" s="21">
        <f t="shared" si="12"/>
        <v>1</v>
      </c>
      <c r="G142" s="21">
        <f t="shared" si="13"/>
        <v>1</v>
      </c>
      <c r="H142" s="22"/>
      <c r="I142" s="23"/>
      <c r="J142" s="23"/>
      <c r="K142" s="23"/>
      <c r="L142" s="24"/>
      <c r="M142" s="196" t="s">
        <v>209</v>
      </c>
      <c r="N142" s="90" t="s">
        <v>210</v>
      </c>
      <c r="O142" s="16" t="s">
        <v>211</v>
      </c>
      <c r="P142" s="17" t="s">
        <v>211</v>
      </c>
      <c r="Q142" s="171" t="s">
        <v>212</v>
      </c>
      <c r="R142" s="171" t="s">
        <v>212</v>
      </c>
      <c r="S142" s="171" t="s">
        <v>212</v>
      </c>
      <c r="T142" s="171" t="s">
        <v>213</v>
      </c>
      <c r="U142" s="171" t="s">
        <v>213</v>
      </c>
      <c r="V142" s="17" t="s">
        <v>210</v>
      </c>
      <c r="W142" s="171" t="s">
        <v>213</v>
      </c>
    </row>
    <row r="143" spans="1:23" ht="31.5">
      <c r="A143" s="18"/>
      <c r="B143" s="584"/>
      <c r="C143" s="19" t="s">
        <v>25</v>
      </c>
      <c r="D143" s="195">
        <f>D149</f>
        <v>1021.812</v>
      </c>
      <c r="E143" s="195">
        <f>E149</f>
        <v>1021.812</v>
      </c>
      <c r="F143" s="21">
        <f t="shared" si="12"/>
        <v>1</v>
      </c>
      <c r="G143" s="70">
        <f t="shared" si="13"/>
        <v>1</v>
      </c>
      <c r="H143" s="71"/>
      <c r="I143" s="23"/>
      <c r="J143" s="72"/>
      <c r="K143" s="72"/>
      <c r="L143" s="24"/>
      <c r="M143" s="170" t="s">
        <v>22</v>
      </c>
      <c r="N143" s="92">
        <v>8.4</v>
      </c>
      <c r="O143" s="27">
        <v>18.600000000000001</v>
      </c>
      <c r="P143" s="28">
        <v>19.100000000000001</v>
      </c>
      <c r="Q143" s="28">
        <v>60</v>
      </c>
      <c r="R143" s="28">
        <v>2130</v>
      </c>
      <c r="S143" s="28">
        <v>178</v>
      </c>
      <c r="T143" s="28">
        <v>0</v>
      </c>
      <c r="U143" s="28">
        <v>4</v>
      </c>
      <c r="V143" s="28">
        <v>60</v>
      </c>
      <c r="W143" s="28">
        <v>5</v>
      </c>
    </row>
    <row r="144" spans="1:23" ht="51.75" customHeight="1" thickBot="1">
      <c r="A144" s="29"/>
      <c r="B144" s="581"/>
      <c r="C144" s="30" t="s">
        <v>172</v>
      </c>
      <c r="D144" s="197">
        <f>D152</f>
        <v>248.547</v>
      </c>
      <c r="E144" s="197">
        <f>E152</f>
        <v>248.547</v>
      </c>
      <c r="F144" s="32">
        <f t="shared" si="12"/>
        <v>1</v>
      </c>
      <c r="G144" s="198">
        <f t="shared" si="13"/>
        <v>1</v>
      </c>
      <c r="H144" s="199"/>
      <c r="I144" s="34"/>
      <c r="J144" s="200"/>
      <c r="K144" s="200"/>
      <c r="L144" s="35"/>
      <c r="M144" s="170" t="s">
        <v>24</v>
      </c>
      <c r="N144" s="92">
        <v>8.4</v>
      </c>
      <c r="O144" s="27">
        <v>18.600000000000001</v>
      </c>
      <c r="P144" s="28">
        <v>19.100000000000001</v>
      </c>
      <c r="Q144" s="28">
        <v>85</v>
      </c>
      <c r="R144" s="28">
        <v>5879</v>
      </c>
      <c r="S144" s="28">
        <v>2101</v>
      </c>
      <c r="T144" s="28">
        <v>0</v>
      </c>
      <c r="U144" s="28">
        <v>0</v>
      </c>
      <c r="V144" s="28">
        <v>183</v>
      </c>
      <c r="W144" s="28">
        <v>18</v>
      </c>
    </row>
    <row r="145" spans="1:25" ht="56.25" customHeight="1">
      <c r="A145" s="36" t="s">
        <v>214</v>
      </c>
      <c r="B145" s="607" t="s">
        <v>215</v>
      </c>
      <c r="C145" s="37" t="s">
        <v>21</v>
      </c>
      <c r="D145" s="201">
        <v>50</v>
      </c>
      <c r="E145" s="201">
        <v>50</v>
      </c>
      <c r="F145" s="38">
        <f t="shared" si="12"/>
        <v>1</v>
      </c>
      <c r="G145" s="39">
        <f t="shared" si="13"/>
        <v>1</v>
      </c>
      <c r="H145" s="40">
        <f>I145+J145+K145</f>
        <v>90</v>
      </c>
      <c r="I145" s="41">
        <f t="shared" si="14"/>
        <v>25</v>
      </c>
      <c r="J145" s="42">
        <f>IF([1]!Таблица256[[#This Row],[% экономии при выполнении программ/подпрограмм]],10,0)</f>
        <v>10</v>
      </c>
      <c r="K145" s="42">
        <f t="shared" si="15"/>
        <v>55</v>
      </c>
      <c r="L145" s="43">
        <f>IF(SUM(M146:Y146)=SUM(M145:Y145),1,2)</f>
        <v>1</v>
      </c>
      <c r="M145" s="170" t="s">
        <v>22</v>
      </c>
      <c r="N145" s="92">
        <v>8.4</v>
      </c>
      <c r="O145" s="27">
        <v>18.600000000000001</v>
      </c>
      <c r="P145" s="28">
        <v>19.100000000000001</v>
      </c>
      <c r="Q145" s="28"/>
      <c r="R145" s="28"/>
      <c r="S145" s="28"/>
      <c r="T145" s="28"/>
      <c r="U145" s="28"/>
      <c r="V145" s="28"/>
      <c r="W145" s="28"/>
    </row>
    <row r="146" spans="1:25" ht="42" customHeight="1">
      <c r="A146" s="44"/>
      <c r="B146" s="605"/>
      <c r="C146" s="45" t="s">
        <v>23</v>
      </c>
      <c r="D146" s="202">
        <v>50</v>
      </c>
      <c r="E146" s="202">
        <v>50</v>
      </c>
      <c r="F146" s="21"/>
      <c r="G146" s="46"/>
      <c r="H146" s="47"/>
      <c r="I146" s="23"/>
      <c r="J146" s="48"/>
      <c r="K146" s="48"/>
      <c r="L146" s="24"/>
      <c r="M146" s="170" t="s">
        <v>24</v>
      </c>
      <c r="N146" s="92">
        <v>8.4</v>
      </c>
      <c r="O146" s="27">
        <v>18.600000000000001</v>
      </c>
      <c r="P146" s="28">
        <v>19.100000000000001</v>
      </c>
      <c r="Q146" s="28"/>
      <c r="R146" s="28"/>
      <c r="S146" s="28"/>
      <c r="T146" s="28"/>
      <c r="U146" s="28"/>
      <c r="V146" s="28"/>
      <c r="W146" s="28"/>
    </row>
    <row r="147" spans="1:25" ht="48" customHeight="1">
      <c r="A147" s="44" t="s">
        <v>216</v>
      </c>
      <c r="B147" s="605" t="s">
        <v>217</v>
      </c>
      <c r="C147" s="53" t="s">
        <v>21</v>
      </c>
      <c r="D147" s="202">
        <f>D148+D149</f>
        <v>3433.681</v>
      </c>
      <c r="E147" s="202">
        <f>E148+E149</f>
        <v>3433.681</v>
      </c>
      <c r="F147" s="21">
        <f t="shared" si="12"/>
        <v>1</v>
      </c>
      <c r="G147" s="46">
        <f t="shared" si="13"/>
        <v>1</v>
      </c>
      <c r="H147" s="47">
        <f>I147+J147+K147</f>
        <v>90</v>
      </c>
      <c r="I147" s="23">
        <f t="shared" si="14"/>
        <v>25</v>
      </c>
      <c r="J147" s="48">
        <f>IF([1]!Таблица256[[#This Row],[% экономии при выполнении программ/подпрограмм]],10,0)</f>
        <v>10</v>
      </c>
      <c r="K147" s="48">
        <f t="shared" si="15"/>
        <v>55</v>
      </c>
      <c r="L147" s="24">
        <f>IF(SUM(M148:Y148)=SUM(M147:Y147),1,IF(SUM(M148:Y148)&gt;SUM(M147:Y147),1,2))</f>
        <v>1</v>
      </c>
      <c r="M147" s="170" t="s">
        <v>22</v>
      </c>
      <c r="N147" s="92"/>
      <c r="O147" s="27"/>
      <c r="P147" s="28"/>
      <c r="Q147" s="28">
        <v>60</v>
      </c>
      <c r="R147" s="28">
        <v>2130</v>
      </c>
      <c r="S147" s="28">
        <v>178</v>
      </c>
      <c r="T147" s="28"/>
      <c r="U147" s="28"/>
      <c r="V147" s="28"/>
      <c r="W147" s="28"/>
    </row>
    <row r="148" spans="1:25" ht="31.5">
      <c r="A148" s="44"/>
      <c r="B148" s="605"/>
      <c r="C148" s="53" t="s">
        <v>23</v>
      </c>
      <c r="D148" s="202">
        <v>2411.8690000000001</v>
      </c>
      <c r="E148" s="202">
        <v>2411.8690000000001</v>
      </c>
      <c r="F148" s="21"/>
      <c r="G148" s="46"/>
      <c r="H148" s="47"/>
      <c r="I148" s="23"/>
      <c r="J148" s="48"/>
      <c r="K148" s="48"/>
      <c r="L148" s="24"/>
      <c r="M148" s="170" t="s">
        <v>24</v>
      </c>
      <c r="N148" s="92"/>
      <c r="O148" s="27"/>
      <c r="P148" s="28"/>
      <c r="Q148" s="28">
        <v>85</v>
      </c>
      <c r="R148" s="28">
        <v>5879</v>
      </c>
      <c r="S148" s="28">
        <v>2101</v>
      </c>
      <c r="T148" s="28"/>
      <c r="U148" s="28"/>
      <c r="V148" s="28"/>
      <c r="W148" s="28"/>
    </row>
    <row r="149" spans="1:25" ht="31.5">
      <c r="A149" s="44"/>
      <c r="B149" s="605"/>
      <c r="C149" s="53" t="s">
        <v>25</v>
      </c>
      <c r="D149" s="202">
        <v>1021.812</v>
      </c>
      <c r="E149" s="202">
        <v>1021.812</v>
      </c>
      <c r="F149" s="21"/>
      <c r="G149" s="46"/>
      <c r="H149" s="47"/>
      <c r="I149" s="23"/>
      <c r="J149" s="48"/>
      <c r="K149" s="48"/>
      <c r="L149" s="24"/>
      <c r="M149" s="203"/>
      <c r="N149" s="92"/>
      <c r="O149" s="27"/>
      <c r="P149" s="28"/>
      <c r="Q149" s="28"/>
      <c r="R149" s="28"/>
      <c r="S149" s="28"/>
      <c r="T149" s="28"/>
      <c r="U149" s="28"/>
      <c r="V149" s="28"/>
      <c r="W149" s="28"/>
    </row>
    <row r="150" spans="1:25" ht="31.5">
      <c r="A150" s="44"/>
      <c r="B150" s="605"/>
      <c r="C150" s="53" t="s">
        <v>50</v>
      </c>
      <c r="D150" s="202">
        <v>0</v>
      </c>
      <c r="E150" s="202">
        <v>0</v>
      </c>
      <c r="F150" s="21"/>
      <c r="G150" s="46"/>
      <c r="H150" s="47"/>
      <c r="I150" s="23"/>
      <c r="J150" s="48"/>
      <c r="K150" s="48"/>
      <c r="L150" s="24"/>
      <c r="M150" s="203"/>
      <c r="N150" s="92"/>
      <c r="O150" s="27"/>
      <c r="P150" s="28"/>
      <c r="Q150" s="28"/>
      <c r="R150" s="28"/>
      <c r="S150" s="28"/>
      <c r="T150" s="28"/>
      <c r="U150" s="28"/>
      <c r="V150" s="28"/>
      <c r="W150" s="28"/>
    </row>
    <row r="151" spans="1:25" ht="33" customHeight="1">
      <c r="A151" s="44" t="s">
        <v>218</v>
      </c>
      <c r="B151" s="605" t="s">
        <v>219</v>
      </c>
      <c r="C151" s="53" t="s">
        <v>21</v>
      </c>
      <c r="D151" s="202">
        <f>D152</f>
        <v>248.547</v>
      </c>
      <c r="E151" s="202">
        <f>E152</f>
        <v>248.547</v>
      </c>
      <c r="F151" s="21">
        <f t="shared" si="12"/>
        <v>1</v>
      </c>
      <c r="G151" s="46">
        <f t="shared" si="13"/>
        <v>1</v>
      </c>
      <c r="H151" s="47">
        <f>I151+J151+K151</f>
        <v>90</v>
      </c>
      <c r="I151" s="23">
        <f t="shared" si="14"/>
        <v>25</v>
      </c>
      <c r="J151" s="48">
        <f>IF([1]!Таблица256[[#This Row],[% экономии при выполнении программ/подпрограмм]],10,0)</f>
        <v>10</v>
      </c>
      <c r="K151" s="48">
        <f t="shared" si="15"/>
        <v>55</v>
      </c>
      <c r="L151" s="24">
        <f>IF(SUM(M152:Y152)=SUM(M151:Y151),1,IF(SUM(T151:W151)&lt;SUM(T152:W152),1,2))</f>
        <v>1</v>
      </c>
      <c r="M151" s="170" t="s">
        <v>22</v>
      </c>
      <c r="N151" s="92"/>
      <c r="O151" s="27"/>
      <c r="P151" s="28"/>
      <c r="Q151" s="28"/>
      <c r="R151" s="28"/>
      <c r="S151" s="28"/>
      <c r="T151" s="28">
        <v>0</v>
      </c>
      <c r="U151" s="28">
        <v>4</v>
      </c>
      <c r="V151" s="28">
        <v>60</v>
      </c>
      <c r="W151" s="28">
        <v>5</v>
      </c>
    </row>
    <row r="152" spans="1:25" ht="48" thickBot="1">
      <c r="A152" s="83"/>
      <c r="B152" s="606"/>
      <c r="C152" s="94" t="s">
        <v>172</v>
      </c>
      <c r="D152" s="204">
        <v>248.547</v>
      </c>
      <c r="E152" s="204">
        <v>248.547</v>
      </c>
      <c r="F152" s="59"/>
      <c r="G152" s="60"/>
      <c r="H152" s="61"/>
      <c r="I152" s="62"/>
      <c r="J152" s="63"/>
      <c r="K152" s="63"/>
      <c r="L152" s="64"/>
      <c r="M152" s="91" t="s">
        <v>24</v>
      </c>
      <c r="N152" s="92"/>
      <c r="O152" s="27"/>
      <c r="P152" s="28"/>
      <c r="Q152" s="28"/>
      <c r="R152" s="28"/>
      <c r="S152" s="28"/>
      <c r="T152" s="28">
        <v>0</v>
      </c>
      <c r="U152" s="28">
        <v>0</v>
      </c>
      <c r="V152" s="28">
        <v>183</v>
      </c>
      <c r="W152" s="28">
        <v>18</v>
      </c>
    </row>
    <row r="153" spans="1:25" ht="138" customHeight="1" thickBot="1">
      <c r="A153" s="7">
        <v>10</v>
      </c>
      <c r="B153" s="580" t="s">
        <v>220</v>
      </c>
      <c r="C153" s="8" t="s">
        <v>21</v>
      </c>
      <c r="D153" s="8">
        <f t="shared" ref="D153:E156" si="16">D157</f>
        <v>3259.9721500000005</v>
      </c>
      <c r="E153" s="8">
        <f t="shared" si="16"/>
        <v>3259.9721500000005</v>
      </c>
      <c r="F153" s="10">
        <f t="shared" si="12"/>
        <v>1</v>
      </c>
      <c r="G153" s="10">
        <f t="shared" si="13"/>
        <v>1</v>
      </c>
      <c r="H153" s="205">
        <f>H157*E157/[1]!Таблица256[[#This Row],[Кассовые расходы ]]</f>
        <v>59.956500206600346</v>
      </c>
      <c r="I153" s="12"/>
      <c r="J153" s="12"/>
      <c r="K153" s="12"/>
      <c r="L153" s="13">
        <f>IF(SUM(M155:Y155)=SUM(M154:Y154),1,2)</f>
        <v>2</v>
      </c>
      <c r="M153" s="5" t="s">
        <v>14</v>
      </c>
      <c r="N153" s="86" t="s">
        <v>221</v>
      </c>
      <c r="O153" s="206" t="s">
        <v>222</v>
      </c>
      <c r="P153" s="206" t="s">
        <v>223</v>
      </c>
      <c r="Q153" s="206" t="s">
        <v>224</v>
      </c>
      <c r="R153" s="87" t="s">
        <v>225</v>
      </c>
      <c r="S153" s="87" t="s">
        <v>226</v>
      </c>
      <c r="T153" s="207" t="s">
        <v>227</v>
      </c>
      <c r="U153" s="6" t="s">
        <v>228</v>
      </c>
      <c r="V153" s="86" t="s">
        <v>229</v>
      </c>
      <c r="W153" s="87" t="s">
        <v>230</v>
      </c>
      <c r="X153" s="87" t="s">
        <v>231</v>
      </c>
      <c r="Y153" s="88" t="s">
        <v>232</v>
      </c>
    </row>
    <row r="154" spans="1:25" ht="47.25" customHeight="1" thickBot="1">
      <c r="A154" s="18"/>
      <c r="B154" s="584"/>
      <c r="C154" s="19" t="s">
        <v>23</v>
      </c>
      <c r="D154" s="19">
        <f t="shared" si="16"/>
        <v>813.21915000000001</v>
      </c>
      <c r="E154" s="19">
        <f t="shared" si="16"/>
        <v>813.21915000000001</v>
      </c>
      <c r="F154" s="21">
        <f t="shared" si="12"/>
        <v>1</v>
      </c>
      <c r="G154" s="21">
        <f t="shared" si="13"/>
        <v>1</v>
      </c>
      <c r="H154" s="22"/>
      <c r="I154" s="23"/>
      <c r="J154" s="23"/>
      <c r="K154" s="23"/>
      <c r="L154" s="24"/>
      <c r="M154" s="124" t="s">
        <v>22</v>
      </c>
      <c r="N154" s="208" t="s">
        <v>233</v>
      </c>
      <c r="O154" s="209" t="s">
        <v>234</v>
      </c>
      <c r="P154" s="120" t="s">
        <v>235</v>
      </c>
      <c r="Q154" s="120" t="s">
        <v>236</v>
      </c>
      <c r="R154" s="126" t="s">
        <v>237</v>
      </c>
      <c r="S154" s="126" t="s">
        <v>238</v>
      </c>
      <c r="T154" s="210">
        <v>25500</v>
      </c>
      <c r="U154" s="127">
        <v>2775</v>
      </c>
      <c r="V154" s="126" t="s">
        <v>239</v>
      </c>
      <c r="W154" s="16" t="s">
        <v>240</v>
      </c>
      <c r="X154" s="17">
        <v>5</v>
      </c>
      <c r="Y154" s="127">
        <v>433</v>
      </c>
    </row>
    <row r="155" spans="1:25" ht="48.75" customHeight="1" thickBot="1">
      <c r="A155" s="18"/>
      <c r="B155" s="584"/>
      <c r="C155" s="19" t="s">
        <v>25</v>
      </c>
      <c r="D155" s="19">
        <f t="shared" si="16"/>
        <v>171.27199999999999</v>
      </c>
      <c r="E155" s="19">
        <f t="shared" si="16"/>
        <v>171.27199999999999</v>
      </c>
      <c r="F155" s="21">
        <f t="shared" si="12"/>
        <v>1</v>
      </c>
      <c r="G155" s="21">
        <f t="shared" si="13"/>
        <v>1</v>
      </c>
      <c r="H155" s="22"/>
      <c r="I155" s="23"/>
      <c r="J155" s="23"/>
      <c r="K155" s="23"/>
      <c r="L155" s="24"/>
      <c r="M155" s="129" t="s">
        <v>24</v>
      </c>
      <c r="N155" s="211" t="s">
        <v>241</v>
      </c>
      <c r="O155" s="209" t="s">
        <v>242</v>
      </c>
      <c r="P155" s="120" t="s">
        <v>243</v>
      </c>
      <c r="Q155" s="120" t="s">
        <v>244</v>
      </c>
      <c r="R155" s="120" t="s">
        <v>245</v>
      </c>
      <c r="S155" s="120" t="s">
        <v>246</v>
      </c>
      <c r="T155" s="212">
        <v>34274</v>
      </c>
      <c r="U155" s="131">
        <v>2311</v>
      </c>
      <c r="V155" s="213" t="s">
        <v>247</v>
      </c>
      <c r="W155" s="16" t="s">
        <v>248</v>
      </c>
      <c r="X155" s="28">
        <v>5</v>
      </c>
      <c r="Y155" s="131">
        <v>300</v>
      </c>
    </row>
    <row r="156" spans="1:25" ht="108" customHeight="1" thickBot="1">
      <c r="A156" s="29"/>
      <c r="B156" s="581"/>
      <c r="C156" s="30" t="s">
        <v>50</v>
      </c>
      <c r="D156" s="30">
        <f t="shared" si="16"/>
        <v>2275.4810000000002</v>
      </c>
      <c r="E156" s="30">
        <f t="shared" si="16"/>
        <v>2275.4810000000002</v>
      </c>
      <c r="F156" s="32">
        <f t="shared" si="12"/>
        <v>1</v>
      </c>
      <c r="G156" s="32">
        <f t="shared" si="13"/>
        <v>1</v>
      </c>
      <c r="H156" s="33"/>
      <c r="I156" s="34"/>
      <c r="J156" s="34"/>
      <c r="K156" s="34"/>
      <c r="L156" s="35"/>
      <c r="M156" s="214" t="s">
        <v>14</v>
      </c>
      <c r="N156" s="26" t="s">
        <v>249</v>
      </c>
      <c r="O156" s="50"/>
      <c r="P156" s="50"/>
      <c r="Q156" s="50"/>
    </row>
    <row r="157" spans="1:25" ht="36.75" customHeight="1" thickBot="1">
      <c r="A157" s="36" t="s">
        <v>250</v>
      </c>
      <c r="B157" s="607" t="s">
        <v>251</v>
      </c>
      <c r="C157" s="81" t="s">
        <v>21</v>
      </c>
      <c r="D157" s="81">
        <f>D158+D159+D160</f>
        <v>3259.9721500000005</v>
      </c>
      <c r="E157" s="81">
        <f>E158+E159+E160</f>
        <v>3259.9721500000005</v>
      </c>
      <c r="F157" s="38">
        <f t="shared" si="12"/>
        <v>1</v>
      </c>
      <c r="G157" s="38">
        <f t="shared" si="13"/>
        <v>1</v>
      </c>
      <c r="H157" s="215">
        <f>I157+J157+K157</f>
        <v>45</v>
      </c>
      <c r="I157" s="41">
        <f t="shared" si="14"/>
        <v>25</v>
      </c>
      <c r="J157" s="41">
        <f>IF([1]!Таблица256[[#This Row],[% экономии при выполнении программ/подпрограмм]],10,0)</f>
        <v>10</v>
      </c>
      <c r="K157" s="41">
        <f t="shared" si="15"/>
        <v>10</v>
      </c>
      <c r="L157" s="43">
        <f>IF(SUM(M157:Y157)=SUM(M158:Y158),1,2)</f>
        <v>2</v>
      </c>
      <c r="M157" s="216" t="s">
        <v>22</v>
      </c>
      <c r="N157" s="28">
        <v>252</v>
      </c>
      <c r="O157" s="217"/>
      <c r="P157" s="114"/>
      <c r="Q157" s="114"/>
    </row>
    <row r="158" spans="1:25" ht="32.25" thickBot="1">
      <c r="A158" s="44"/>
      <c r="B158" s="605"/>
      <c r="C158" s="53" t="s">
        <v>23</v>
      </c>
      <c r="D158" s="53">
        <v>813.21915000000001</v>
      </c>
      <c r="E158" s="53">
        <v>813.21915000000001</v>
      </c>
      <c r="F158" s="21"/>
      <c r="G158" s="21"/>
      <c r="H158" s="22"/>
      <c r="I158" s="23"/>
      <c r="J158" s="23"/>
      <c r="K158" s="23"/>
      <c r="L158" s="24"/>
      <c r="M158" s="218" t="s">
        <v>24</v>
      </c>
      <c r="N158" s="28">
        <v>113.9</v>
      </c>
      <c r="O158" s="217"/>
      <c r="P158" s="114"/>
      <c r="Q158" s="114"/>
    </row>
    <row r="159" spans="1:25" ht="31.5">
      <c r="A159" s="44"/>
      <c r="B159" s="605"/>
      <c r="C159" s="53" t="s">
        <v>25</v>
      </c>
      <c r="D159" s="54">
        <v>171.27199999999999</v>
      </c>
      <c r="E159" s="54">
        <v>171.27199999999999</v>
      </c>
      <c r="F159" s="21"/>
      <c r="G159" s="21"/>
      <c r="H159" s="22"/>
      <c r="I159" s="23"/>
      <c r="J159" s="23"/>
      <c r="K159" s="23"/>
      <c r="L159" s="24"/>
      <c r="N159" s="2"/>
      <c r="O159" s="3"/>
    </row>
    <row r="160" spans="1:25" ht="32.25" thickBot="1">
      <c r="A160" s="44"/>
      <c r="B160" s="605"/>
      <c r="C160" s="53" t="s">
        <v>50</v>
      </c>
      <c r="D160" s="54">
        <v>2275.4810000000002</v>
      </c>
      <c r="E160" s="54">
        <v>2275.4810000000002</v>
      </c>
      <c r="F160" s="21"/>
      <c r="G160" s="21"/>
      <c r="H160" s="22"/>
      <c r="I160" s="23"/>
      <c r="J160" s="23"/>
      <c r="K160" s="23"/>
      <c r="L160" s="24"/>
      <c r="N160" s="2"/>
      <c r="O160" s="3"/>
    </row>
    <row r="161" spans="1:20" ht="94.5" customHeight="1" thickBot="1">
      <c r="A161" s="18">
        <v>11</v>
      </c>
      <c r="B161" s="584" t="s">
        <v>252</v>
      </c>
      <c r="C161" s="19" t="s">
        <v>21</v>
      </c>
      <c r="D161" s="19">
        <f>D164+D167+D170</f>
        <v>32941.1</v>
      </c>
      <c r="E161" s="19">
        <f>E164+E167+E170</f>
        <v>32935.299999999996</v>
      </c>
      <c r="F161" s="21">
        <f t="shared" si="12"/>
        <v>0.99982392816269028</v>
      </c>
      <c r="G161" s="21">
        <f t="shared" si="13"/>
        <v>0.99982392816269028</v>
      </c>
      <c r="H161" s="219">
        <f>(H164*E164+H167*E167+H170*E170)/E161</f>
        <v>80.013997139846921</v>
      </c>
      <c r="I161" s="23"/>
      <c r="J161" s="23"/>
      <c r="K161" s="23"/>
      <c r="L161" s="24">
        <f>IF(SUM(M164:Y164)=SUM(M163:Y163),1,2)</f>
        <v>2</v>
      </c>
      <c r="M161" s="220" t="s">
        <v>161</v>
      </c>
      <c r="N161" s="154" t="s">
        <v>253</v>
      </c>
      <c r="O161" s="182" t="s">
        <v>254</v>
      </c>
      <c r="P161" s="182" t="s">
        <v>255</v>
      </c>
      <c r="Q161" s="182" t="s">
        <v>256</v>
      </c>
      <c r="R161" s="182" t="s">
        <v>257</v>
      </c>
      <c r="S161" s="182" t="s">
        <v>258</v>
      </c>
      <c r="T161" s="221" t="s">
        <v>259</v>
      </c>
    </row>
    <row r="162" spans="1:20" ht="32.25" thickBot="1">
      <c r="A162" s="18"/>
      <c r="B162" s="584"/>
      <c r="C162" s="19" t="s">
        <v>23</v>
      </c>
      <c r="D162" s="19">
        <f>D165+D168+D171</f>
        <v>32486.999999999996</v>
      </c>
      <c r="E162" s="19">
        <f>E165+E168+E171</f>
        <v>32481.199999999997</v>
      </c>
      <c r="F162" s="21"/>
      <c r="G162" s="21"/>
      <c r="H162" s="22"/>
      <c r="I162" s="23"/>
      <c r="J162" s="23"/>
      <c r="K162" s="23"/>
      <c r="L162" s="24"/>
      <c r="M162" s="222" t="s">
        <v>209</v>
      </c>
      <c r="N162" s="223" t="s">
        <v>260</v>
      </c>
      <c r="O162" s="224" t="s">
        <v>211</v>
      </c>
      <c r="P162" s="224" t="s">
        <v>211</v>
      </c>
      <c r="Q162" s="224" t="s">
        <v>261</v>
      </c>
      <c r="R162" s="224" t="s">
        <v>262</v>
      </c>
      <c r="S162" s="224" t="s">
        <v>262</v>
      </c>
      <c r="T162" s="224" t="s">
        <v>211</v>
      </c>
    </row>
    <row r="163" spans="1:20" ht="32.25" thickBot="1">
      <c r="A163" s="18"/>
      <c r="B163" s="584"/>
      <c r="C163" s="19" t="s">
        <v>25</v>
      </c>
      <c r="D163" s="19">
        <v>454.1</v>
      </c>
      <c r="E163" s="19">
        <f>E166+E169+E172</f>
        <v>454.1</v>
      </c>
      <c r="F163" s="21"/>
      <c r="G163" s="70"/>
      <c r="H163" s="71"/>
      <c r="I163" s="23"/>
      <c r="J163" s="72"/>
      <c r="K163" s="72"/>
      <c r="L163" s="24"/>
      <c r="M163" s="225" t="s">
        <v>22</v>
      </c>
      <c r="N163" s="226">
        <v>4</v>
      </c>
      <c r="O163" s="227">
        <v>100</v>
      </c>
      <c r="P163" s="227">
        <v>100</v>
      </c>
      <c r="Q163" s="227">
        <v>46</v>
      </c>
      <c r="R163" s="227">
        <v>16.78</v>
      </c>
      <c r="S163" s="228">
        <v>1.89</v>
      </c>
      <c r="T163" s="227">
        <v>100</v>
      </c>
    </row>
    <row r="164" spans="1:20" ht="32.25" customHeight="1" thickBot="1">
      <c r="A164" s="44" t="s">
        <v>263</v>
      </c>
      <c r="B164" s="586" t="s">
        <v>264</v>
      </c>
      <c r="C164" s="110" t="s">
        <v>21</v>
      </c>
      <c r="D164" s="110">
        <v>46.1</v>
      </c>
      <c r="E164" s="110">
        <v>46.1</v>
      </c>
      <c r="F164" s="21">
        <f t="shared" si="12"/>
        <v>1</v>
      </c>
      <c r="G164" s="70">
        <f t="shared" si="13"/>
        <v>1</v>
      </c>
      <c r="H164" s="71">
        <f>I164+J164+K164</f>
        <v>90</v>
      </c>
      <c r="I164" s="23">
        <f t="shared" si="14"/>
        <v>25</v>
      </c>
      <c r="J164" s="72">
        <f>IF([1]!Таблица256[[#This Row],[% экономии при выполнении программ/подпрограмм]],10,0)</f>
        <v>10</v>
      </c>
      <c r="K164" s="72">
        <f t="shared" si="15"/>
        <v>55</v>
      </c>
      <c r="L164" s="24">
        <f>IF(SUM(M166:Y166)=SUM(M165:Y165),1,2)</f>
        <v>1</v>
      </c>
      <c r="M164" s="225" t="s">
        <v>24</v>
      </c>
      <c r="N164" s="226">
        <v>4</v>
      </c>
      <c r="O164" s="227">
        <v>100</v>
      </c>
      <c r="P164" s="227">
        <v>100</v>
      </c>
      <c r="Q164" s="227">
        <v>46</v>
      </c>
      <c r="R164" s="227">
        <v>16.78</v>
      </c>
      <c r="S164" s="228">
        <v>2.33</v>
      </c>
      <c r="T164" s="227">
        <v>100</v>
      </c>
    </row>
    <row r="165" spans="1:20" ht="32.25" thickBot="1">
      <c r="A165" s="44"/>
      <c r="B165" s="603"/>
      <c r="C165" s="110" t="s">
        <v>23</v>
      </c>
      <c r="D165" s="110">
        <v>46.1</v>
      </c>
      <c r="E165" s="110">
        <v>46.1</v>
      </c>
      <c r="F165" s="21"/>
      <c r="G165" s="21"/>
      <c r="H165" s="22"/>
      <c r="I165" s="23"/>
      <c r="J165" s="23"/>
      <c r="K165" s="23"/>
      <c r="L165" s="24"/>
      <c r="M165" s="225" t="s">
        <v>22</v>
      </c>
      <c r="N165" s="226">
        <v>4</v>
      </c>
      <c r="O165" s="3"/>
    </row>
    <row r="166" spans="1:20" ht="32.25" thickBot="1">
      <c r="A166" s="44"/>
      <c r="B166" s="587"/>
      <c r="C166" s="110" t="s">
        <v>25</v>
      </c>
      <c r="D166" s="110">
        <v>0</v>
      </c>
      <c r="E166" s="110">
        <v>0</v>
      </c>
      <c r="F166" s="21"/>
      <c r="G166" s="21"/>
      <c r="H166" s="22"/>
      <c r="I166" s="23"/>
      <c r="J166" s="23"/>
      <c r="K166" s="23"/>
      <c r="L166" s="24"/>
      <c r="M166" s="225" t="s">
        <v>24</v>
      </c>
      <c r="N166" s="226">
        <v>4</v>
      </c>
      <c r="O166" s="3"/>
    </row>
    <row r="167" spans="1:20" ht="17.25" thickBot="1">
      <c r="A167" s="44" t="s">
        <v>265</v>
      </c>
      <c r="B167" s="586" t="s">
        <v>266</v>
      </c>
      <c r="C167" s="110" t="s">
        <v>21</v>
      </c>
      <c r="D167" s="110">
        <v>31110.400000000001</v>
      </c>
      <c r="E167" s="110">
        <v>31104.6</v>
      </c>
      <c r="F167" s="229">
        <v>0.99</v>
      </c>
      <c r="G167" s="70">
        <f t="shared" si="13"/>
        <v>0.99981356716724945</v>
      </c>
      <c r="H167" s="71">
        <f>J167+K167</f>
        <v>80</v>
      </c>
      <c r="I167" s="23">
        <f t="shared" si="14"/>
        <v>0</v>
      </c>
      <c r="J167" s="72">
        <f>IF([1]!Таблица256[[#This Row],[% экономии при выполнении программ/подпрограмм]],20,0)</f>
        <v>20</v>
      </c>
      <c r="K167" s="72">
        <f>IF(L167=1,60,30)</f>
        <v>60</v>
      </c>
      <c r="L167" s="24">
        <f>IF(SUM(M168:Y168)=SUM(M167:Y167),1,2)</f>
        <v>1</v>
      </c>
      <c r="M167" s="225" t="s">
        <v>22</v>
      </c>
      <c r="N167" s="2"/>
      <c r="O167" s="227">
        <v>100</v>
      </c>
      <c r="P167" s="227">
        <v>100</v>
      </c>
      <c r="Q167" s="227">
        <v>46</v>
      </c>
      <c r="R167" s="227">
        <v>16.78</v>
      </c>
      <c r="S167" s="227">
        <v>2.33</v>
      </c>
      <c r="T167" s="227">
        <v>100</v>
      </c>
    </row>
    <row r="168" spans="1:20" ht="42" customHeight="1" thickBot="1">
      <c r="A168" s="44"/>
      <c r="B168" s="603"/>
      <c r="C168" s="110" t="s">
        <v>23</v>
      </c>
      <c r="D168" s="110">
        <v>30656.3</v>
      </c>
      <c r="E168" s="110">
        <v>30650.5</v>
      </c>
      <c r="F168" s="21"/>
      <c r="G168" s="70"/>
      <c r="H168" s="71"/>
      <c r="I168" s="23"/>
      <c r="J168" s="72"/>
      <c r="K168" s="72"/>
      <c r="L168" s="24"/>
      <c r="M168" s="230" t="s">
        <v>24</v>
      </c>
      <c r="N168" s="2"/>
      <c r="O168" s="227">
        <v>100</v>
      </c>
      <c r="P168" s="227">
        <v>100</v>
      </c>
      <c r="Q168" s="227">
        <v>46</v>
      </c>
      <c r="R168" s="227">
        <v>16.78</v>
      </c>
      <c r="S168" s="227">
        <v>2.33</v>
      </c>
      <c r="T168" s="227">
        <v>100</v>
      </c>
    </row>
    <row r="169" spans="1:20" ht="49.5" customHeight="1" thickBot="1">
      <c r="A169" s="44"/>
      <c r="B169" s="587"/>
      <c r="C169" s="110" t="s">
        <v>25</v>
      </c>
      <c r="D169" s="110">
        <v>454.1</v>
      </c>
      <c r="E169" s="110">
        <v>454.1</v>
      </c>
      <c r="F169" s="21"/>
      <c r="G169" s="70"/>
      <c r="H169" s="71"/>
      <c r="I169" s="23"/>
      <c r="J169" s="72"/>
      <c r="K169" s="72"/>
      <c r="L169" s="24"/>
      <c r="M169" s="220" t="s">
        <v>14</v>
      </c>
      <c r="N169" s="133" t="s">
        <v>267</v>
      </c>
      <c r="O169" s="3"/>
    </row>
    <row r="170" spans="1:20" ht="32.25" customHeight="1" thickBot="1">
      <c r="A170" s="44" t="s">
        <v>268</v>
      </c>
      <c r="B170" s="585" t="s">
        <v>269</v>
      </c>
      <c r="C170" s="110" t="s">
        <v>21</v>
      </c>
      <c r="D170" s="110">
        <v>1784.6</v>
      </c>
      <c r="E170" s="110">
        <v>1784.6</v>
      </c>
      <c r="F170" s="21">
        <f t="shared" si="12"/>
        <v>1</v>
      </c>
      <c r="G170" s="70">
        <f t="shared" si="13"/>
        <v>1</v>
      </c>
      <c r="H170" s="71">
        <f>J170+K170</f>
        <v>80</v>
      </c>
      <c r="I170" s="23">
        <f t="shared" si="14"/>
        <v>25</v>
      </c>
      <c r="J170" s="72">
        <f>IF([1]!Таблица256[[#This Row],[% экономии при выполнении программ/подпрограмм]],20,0)</f>
        <v>20</v>
      </c>
      <c r="K170" s="72">
        <f>IF(L170=1,60,30)</f>
        <v>60</v>
      </c>
      <c r="L170" s="24">
        <f>IF(SUM(M171:Y171)=SUM(M170:Y170),1,2)</f>
        <v>1</v>
      </c>
      <c r="M170" s="231" t="s">
        <v>22</v>
      </c>
      <c r="N170" s="90">
        <v>16</v>
      </c>
      <c r="O170" s="3"/>
    </row>
    <row r="171" spans="1:20" ht="38.25" customHeight="1" thickBot="1">
      <c r="A171" s="44"/>
      <c r="B171" s="585"/>
      <c r="C171" s="110" t="s">
        <v>23</v>
      </c>
      <c r="D171" s="110">
        <v>1784.6</v>
      </c>
      <c r="E171" s="110">
        <v>1784.6</v>
      </c>
      <c r="F171" s="21"/>
      <c r="G171" s="70"/>
      <c r="H171" s="71"/>
      <c r="I171" s="23"/>
      <c r="J171" s="72"/>
      <c r="K171" s="72"/>
      <c r="L171" s="24"/>
      <c r="M171" s="225" t="s">
        <v>24</v>
      </c>
      <c r="N171" s="137">
        <v>16</v>
      </c>
      <c r="O171" s="3"/>
    </row>
    <row r="172" spans="1:20" ht="32.25" thickBot="1">
      <c r="A172" s="44"/>
      <c r="B172" s="585"/>
      <c r="C172" s="110" t="s">
        <v>25</v>
      </c>
      <c r="D172" s="110"/>
      <c r="E172" s="110"/>
      <c r="F172" s="21"/>
      <c r="G172" s="70"/>
      <c r="H172" s="71"/>
      <c r="I172" s="23"/>
      <c r="J172" s="72"/>
      <c r="K172" s="72"/>
      <c r="L172" s="24"/>
      <c r="N172" s="2"/>
      <c r="O172" s="3"/>
    </row>
    <row r="173" spans="1:20" ht="81" customHeight="1" thickBot="1">
      <c r="A173" s="44">
        <v>12</v>
      </c>
      <c r="B173" s="584" t="s">
        <v>270</v>
      </c>
      <c r="C173" s="19" t="s">
        <v>21</v>
      </c>
      <c r="D173" s="232">
        <v>9418.5</v>
      </c>
      <c r="E173" s="232">
        <v>9289.4</v>
      </c>
      <c r="F173" s="21">
        <f t="shared" si="12"/>
        <v>0.98629293411902108</v>
      </c>
      <c r="G173" s="21">
        <f t="shared" si="13"/>
        <v>0.98629293411902108</v>
      </c>
      <c r="H173" s="22">
        <f>H175*E175/[1]!Таблица256[[#This Row],[Кассовые расходы ]]</f>
        <v>80</v>
      </c>
      <c r="I173" s="23"/>
      <c r="J173" s="23"/>
      <c r="K173" s="23"/>
      <c r="L173" s="24">
        <f>IF(SUM(M174:Y174)=SUM(M175:Y175),1,2)</f>
        <v>1</v>
      </c>
      <c r="M173" s="5" t="s">
        <v>14</v>
      </c>
      <c r="N173" s="86" t="s">
        <v>271</v>
      </c>
      <c r="O173" s="88" t="s">
        <v>272</v>
      </c>
    </row>
    <row r="174" spans="1:20" ht="28.5" customHeight="1">
      <c r="A174" s="44"/>
      <c r="B174" s="584"/>
      <c r="C174" s="19" t="s">
        <v>23</v>
      </c>
      <c r="D174" s="232">
        <v>9418.5</v>
      </c>
      <c r="E174" s="232">
        <v>9289.4</v>
      </c>
      <c r="F174" s="21"/>
      <c r="G174" s="21"/>
      <c r="H174" s="22"/>
      <c r="I174" s="23"/>
      <c r="J174" s="23"/>
      <c r="K174" s="23"/>
      <c r="L174" s="24"/>
      <c r="M174" s="233" t="s">
        <v>22</v>
      </c>
      <c r="N174" s="234">
        <v>100</v>
      </c>
      <c r="O174" s="235">
        <v>100</v>
      </c>
    </row>
    <row r="175" spans="1:20" ht="39.75" customHeight="1" thickBot="1">
      <c r="A175" s="44" t="s">
        <v>273</v>
      </c>
      <c r="B175" s="585" t="s">
        <v>274</v>
      </c>
      <c r="C175" s="110" t="s">
        <v>21</v>
      </c>
      <c r="D175" s="116">
        <v>9418.5</v>
      </c>
      <c r="E175" s="116">
        <v>9289.4</v>
      </c>
      <c r="F175" s="21">
        <f>E175/D175*100%</f>
        <v>0.98629293411902108</v>
      </c>
      <c r="G175" s="21">
        <v>1</v>
      </c>
      <c r="H175" s="22">
        <f>J175+K175</f>
        <v>80</v>
      </c>
      <c r="I175" s="23">
        <f t="shared" si="14"/>
        <v>25</v>
      </c>
      <c r="J175" s="23">
        <f>IF([1]!Таблица256[[#This Row],[% экономии при выполнении программ/подпрограмм]],20,0)</f>
        <v>20</v>
      </c>
      <c r="K175" s="23">
        <f>IF(L175=1,60,30)</f>
        <v>60</v>
      </c>
      <c r="L175" s="24">
        <f>IF(SUM(M174:Y174)=SUM(M175:Y175),1,2)</f>
        <v>1</v>
      </c>
      <c r="M175" s="236" t="s">
        <v>24</v>
      </c>
      <c r="N175" s="237">
        <v>100</v>
      </c>
      <c r="O175" s="238">
        <v>100</v>
      </c>
    </row>
    <row r="176" spans="1:20" ht="43.5" customHeight="1" thickBot="1">
      <c r="A176" s="83"/>
      <c r="B176" s="586"/>
      <c r="C176" s="121" t="s">
        <v>23</v>
      </c>
      <c r="D176" s="239">
        <v>9418.5</v>
      </c>
      <c r="E176" s="239">
        <v>9289.4</v>
      </c>
      <c r="F176" s="59"/>
      <c r="G176" s="59"/>
      <c r="H176" s="240"/>
      <c r="I176" s="62"/>
      <c r="J176" s="62"/>
      <c r="K176" s="62"/>
      <c r="L176" s="64"/>
      <c r="N176" s="2"/>
      <c r="O176" s="3"/>
    </row>
    <row r="177" spans="1:16" ht="43.5" customHeight="1" thickBot="1">
      <c r="A177" s="241">
        <v>13</v>
      </c>
      <c r="B177" s="580" t="s">
        <v>275</v>
      </c>
      <c r="C177" s="8" t="s">
        <v>21</v>
      </c>
      <c r="D177" s="8">
        <v>625.4</v>
      </c>
      <c r="E177" s="8">
        <v>625.4</v>
      </c>
      <c r="F177" s="10">
        <f t="shared" si="12"/>
        <v>1</v>
      </c>
      <c r="G177" s="10">
        <f t="shared" si="13"/>
        <v>1</v>
      </c>
      <c r="H177" s="85">
        <f>H181*E181/[1]!Таблица256[[#This Row],[Кассовые расходы ]]</f>
        <v>80</v>
      </c>
      <c r="I177" s="12"/>
      <c r="J177" s="12"/>
      <c r="K177" s="12"/>
      <c r="L177" s="13">
        <f>IF(O178=P178,1,2)</f>
        <v>1</v>
      </c>
      <c r="M177" s="242" t="s">
        <v>161</v>
      </c>
      <c r="N177" s="243" t="s">
        <v>209</v>
      </c>
      <c r="O177" s="244" t="s">
        <v>22</v>
      </c>
      <c r="P177" s="245" t="s">
        <v>24</v>
      </c>
    </row>
    <row r="178" spans="1:16" ht="60.75" thickBot="1">
      <c r="A178" s="246"/>
      <c r="B178" s="581"/>
      <c r="C178" s="30" t="s">
        <v>23</v>
      </c>
      <c r="D178" s="30">
        <v>625.4</v>
      </c>
      <c r="E178" s="30">
        <v>625.4</v>
      </c>
      <c r="F178" s="32"/>
      <c r="G178" s="32"/>
      <c r="H178" s="33"/>
      <c r="I178" s="34"/>
      <c r="J178" s="34"/>
      <c r="K178" s="34"/>
      <c r="L178" s="35"/>
      <c r="M178" s="208" t="s">
        <v>276</v>
      </c>
      <c r="N178" s="15" t="s">
        <v>211</v>
      </c>
      <c r="O178" s="16">
        <v>0</v>
      </c>
      <c r="P178" s="17">
        <v>0</v>
      </c>
    </row>
    <row r="179" spans="1:16" ht="37.5" customHeight="1" thickBot="1">
      <c r="A179" s="247" t="s">
        <v>277</v>
      </c>
      <c r="B179" s="604" t="s">
        <v>278</v>
      </c>
      <c r="C179" s="248" t="s">
        <v>21</v>
      </c>
      <c r="D179" s="588" t="s">
        <v>61</v>
      </c>
      <c r="E179" s="589"/>
      <c r="F179" s="589"/>
      <c r="G179" s="589"/>
      <c r="H179" s="589"/>
      <c r="I179" s="589"/>
      <c r="J179" s="589"/>
      <c r="K179" s="590"/>
      <c r="L179" s="43">
        <f>IF(O179=P179,1,2)</f>
        <v>2</v>
      </c>
      <c r="M179" s="242" t="s">
        <v>161</v>
      </c>
      <c r="N179" s="243" t="s">
        <v>209</v>
      </c>
      <c r="O179" s="244" t="s">
        <v>22</v>
      </c>
      <c r="P179" s="245" t="s">
        <v>24</v>
      </c>
    </row>
    <row r="180" spans="1:16" ht="32.25" thickBot="1">
      <c r="A180" s="249"/>
      <c r="B180" s="594"/>
      <c r="C180" s="82" t="s">
        <v>23</v>
      </c>
      <c r="D180" s="591"/>
      <c r="E180" s="592"/>
      <c r="F180" s="592"/>
      <c r="G180" s="592"/>
      <c r="H180" s="592"/>
      <c r="I180" s="592"/>
      <c r="J180" s="592"/>
      <c r="K180" s="593"/>
      <c r="L180" s="250"/>
      <c r="M180" s="208" t="s">
        <v>279</v>
      </c>
      <c r="N180" s="224" t="s">
        <v>280</v>
      </c>
      <c r="O180" s="16">
        <v>0</v>
      </c>
      <c r="P180" s="17">
        <v>0</v>
      </c>
    </row>
    <row r="181" spans="1:16" ht="36.75" customHeight="1" thickBot="1">
      <c r="A181" s="44" t="s">
        <v>281</v>
      </c>
      <c r="B181" s="585" t="s">
        <v>282</v>
      </c>
      <c r="C181" s="110" t="s">
        <v>21</v>
      </c>
      <c r="D181" s="251">
        <v>625.4</v>
      </c>
      <c r="E181" s="251">
        <v>625.4</v>
      </c>
      <c r="F181" s="21">
        <f t="shared" si="12"/>
        <v>1</v>
      </c>
      <c r="G181" s="70">
        <f t="shared" si="13"/>
        <v>1</v>
      </c>
      <c r="H181" s="71">
        <f>J181+K181</f>
        <v>80</v>
      </c>
      <c r="I181" s="23">
        <f t="shared" si="14"/>
        <v>25</v>
      </c>
      <c r="J181" s="72">
        <f>IF([1]!Таблица256[[#This Row],[% экономии при выполнении программ/подпрограмм]],20,0)</f>
        <v>20</v>
      </c>
      <c r="K181" s="72">
        <f>IF(L181=1,60,30)</f>
        <v>60</v>
      </c>
      <c r="L181" s="24">
        <f>IF(P182=O182,1,2)</f>
        <v>1</v>
      </c>
      <c r="M181" s="242" t="s">
        <v>161</v>
      </c>
      <c r="N181" s="243" t="s">
        <v>209</v>
      </c>
      <c r="O181" s="244" t="s">
        <v>22</v>
      </c>
      <c r="P181" s="245" t="s">
        <v>24</v>
      </c>
    </row>
    <row r="182" spans="1:16" ht="49.5" customHeight="1" thickBot="1">
      <c r="A182" s="44"/>
      <c r="B182" s="585"/>
      <c r="C182" s="110" t="s">
        <v>23</v>
      </c>
      <c r="D182" s="251">
        <v>625.4</v>
      </c>
      <c r="E182" s="251">
        <v>625.4</v>
      </c>
      <c r="F182" s="21"/>
      <c r="G182" s="70"/>
      <c r="H182" s="71"/>
      <c r="I182" s="23"/>
      <c r="J182" s="72"/>
      <c r="K182" s="72"/>
      <c r="L182" s="24"/>
      <c r="M182" s="208" t="s">
        <v>283</v>
      </c>
      <c r="N182" s="224" t="s">
        <v>280</v>
      </c>
      <c r="O182" s="16">
        <v>0</v>
      </c>
      <c r="P182" s="17">
        <v>0</v>
      </c>
    </row>
    <row r="183" spans="1:16" ht="34.5" customHeight="1" thickBot="1">
      <c r="A183" s="249" t="s">
        <v>284</v>
      </c>
      <c r="B183" s="594" t="s">
        <v>285</v>
      </c>
      <c r="C183" s="82" t="s">
        <v>21</v>
      </c>
      <c r="D183" s="596" t="s">
        <v>61</v>
      </c>
      <c r="E183" s="597"/>
      <c r="F183" s="597"/>
      <c r="G183" s="597"/>
      <c r="H183" s="597"/>
      <c r="I183" s="597"/>
      <c r="J183" s="597"/>
      <c r="K183" s="598"/>
      <c r="L183" s="24">
        <f>IF(O183=P183,1,2)</f>
        <v>2</v>
      </c>
      <c r="M183" s="242" t="s">
        <v>161</v>
      </c>
      <c r="N183" s="243" t="s">
        <v>209</v>
      </c>
      <c r="O183" s="244" t="s">
        <v>22</v>
      </c>
      <c r="P183" s="245" t="s">
        <v>24</v>
      </c>
    </row>
    <row r="184" spans="1:16" ht="60.75" thickBot="1">
      <c r="A184" s="252"/>
      <c r="B184" s="595"/>
      <c r="C184" s="84" t="s">
        <v>23</v>
      </c>
      <c r="D184" s="599"/>
      <c r="E184" s="600"/>
      <c r="F184" s="600"/>
      <c r="G184" s="600"/>
      <c r="H184" s="600"/>
      <c r="I184" s="600"/>
      <c r="J184" s="600"/>
      <c r="K184" s="601"/>
      <c r="L184" s="64"/>
      <c r="M184" s="211" t="s">
        <v>286</v>
      </c>
      <c r="N184" s="15" t="s">
        <v>211</v>
      </c>
      <c r="O184" s="16">
        <v>90</v>
      </c>
      <c r="P184" s="17">
        <v>91</v>
      </c>
    </row>
    <row r="185" spans="1:16" ht="64.5" customHeight="1">
      <c r="A185" s="241">
        <v>14</v>
      </c>
      <c r="B185" s="580" t="s">
        <v>287</v>
      </c>
      <c r="C185" s="8" t="s">
        <v>21</v>
      </c>
      <c r="D185" s="8">
        <v>100</v>
      </c>
      <c r="E185" s="8">
        <v>100</v>
      </c>
      <c r="F185" s="10">
        <f t="shared" si="12"/>
        <v>1</v>
      </c>
      <c r="G185" s="10">
        <f t="shared" si="13"/>
        <v>1</v>
      </c>
      <c r="H185" s="122">
        <f>H187*E187/[1]!Таблица256[[#This Row],[Кассовые расходы ]]</f>
        <v>45</v>
      </c>
      <c r="I185" s="12"/>
      <c r="J185" s="12"/>
      <c r="K185" s="12"/>
      <c r="L185" s="13">
        <f>IF(SUM(M186:Y186)=SUM(M187:Y187),1,2)</f>
        <v>2</v>
      </c>
      <c r="M185" s="253" t="s">
        <v>14</v>
      </c>
      <c r="N185" s="92" t="s">
        <v>288</v>
      </c>
      <c r="O185" s="3"/>
    </row>
    <row r="186" spans="1:16" ht="32.25" thickBot="1">
      <c r="A186" s="246"/>
      <c r="B186" s="581"/>
      <c r="C186" s="30" t="s">
        <v>23</v>
      </c>
      <c r="D186" s="30">
        <v>100</v>
      </c>
      <c r="E186" s="30">
        <v>100</v>
      </c>
      <c r="F186" s="32"/>
      <c r="G186" s="32"/>
      <c r="H186" s="33"/>
      <c r="I186" s="34"/>
      <c r="J186" s="34"/>
      <c r="K186" s="34"/>
      <c r="L186" s="35"/>
      <c r="M186" s="254" t="s">
        <v>22</v>
      </c>
      <c r="N186" s="187">
        <v>3</v>
      </c>
      <c r="O186" s="3"/>
    </row>
    <row r="187" spans="1:16" ht="32.25" customHeight="1" thickBot="1">
      <c r="A187" s="36" t="s">
        <v>289</v>
      </c>
      <c r="B187" s="582" t="s">
        <v>290</v>
      </c>
      <c r="C187" s="81" t="s">
        <v>21</v>
      </c>
      <c r="D187" s="255">
        <v>100</v>
      </c>
      <c r="E187" s="255">
        <v>100</v>
      </c>
      <c r="F187" s="38">
        <f t="shared" si="12"/>
        <v>1</v>
      </c>
      <c r="G187" s="256">
        <f t="shared" si="13"/>
        <v>1</v>
      </c>
      <c r="H187" s="257">
        <f>I187+J187+K187</f>
        <v>45</v>
      </c>
      <c r="I187" s="41">
        <f t="shared" si="14"/>
        <v>25</v>
      </c>
      <c r="J187" s="258">
        <f>IF([1]!Таблица256[[#This Row],[% экономии при выполнении программ/подпрограмм]],10,0)</f>
        <v>10</v>
      </c>
      <c r="K187" s="258">
        <f t="shared" si="15"/>
        <v>10</v>
      </c>
      <c r="L187" s="43">
        <f>IF(SUM(M186:Y186)=SUM(M187:Y187),1,2)</f>
        <v>2</v>
      </c>
      <c r="M187" s="236" t="s">
        <v>24</v>
      </c>
      <c r="N187" s="187">
        <v>1</v>
      </c>
      <c r="O187" s="3"/>
    </row>
    <row r="188" spans="1:16" ht="59.25" customHeight="1" thickBot="1">
      <c r="A188" s="83"/>
      <c r="B188" s="602"/>
      <c r="C188" s="94" t="s">
        <v>23</v>
      </c>
      <c r="D188" s="259">
        <v>100</v>
      </c>
      <c r="E188" s="259">
        <v>100</v>
      </c>
      <c r="F188" s="59"/>
      <c r="G188" s="95"/>
      <c r="H188" s="96"/>
      <c r="I188" s="62"/>
      <c r="J188" s="97"/>
      <c r="K188" s="97"/>
      <c r="L188" s="64"/>
      <c r="N188" s="2"/>
      <c r="O188" s="3"/>
    </row>
    <row r="189" spans="1:16" ht="95.25" thickBot="1">
      <c r="A189" s="241">
        <v>15</v>
      </c>
      <c r="B189" s="580" t="s">
        <v>291</v>
      </c>
      <c r="C189" s="8" t="s">
        <v>21</v>
      </c>
      <c r="D189" s="655">
        <f>D190</f>
        <v>1512.7920799999999</v>
      </c>
      <c r="E189" s="655">
        <f t="shared" ref="E189:E191" si="17">E190</f>
        <v>1512.7920799999999</v>
      </c>
      <c r="F189" s="10">
        <f t="shared" si="12"/>
        <v>1</v>
      </c>
      <c r="G189" s="10">
        <f t="shared" si="13"/>
        <v>1</v>
      </c>
      <c r="H189" s="85">
        <f>H191*E191/[1]!Таблица256[[#This Row],[Кассовые расходы ]]</f>
        <v>94.675080975460503</v>
      </c>
      <c r="I189" s="12"/>
      <c r="J189" s="12"/>
      <c r="K189" s="12"/>
      <c r="L189" s="13">
        <f>IF(SUM(M190:Y190)=SUM(M191:Y191),1,2)</f>
        <v>1</v>
      </c>
      <c r="M189" s="253" t="s">
        <v>14</v>
      </c>
      <c r="N189" s="260" t="s">
        <v>292</v>
      </c>
      <c r="O189" s="87" t="s">
        <v>293</v>
      </c>
      <c r="P189" s="88" t="s">
        <v>294</v>
      </c>
    </row>
    <row r="190" spans="1:16" ht="32.25" thickBot="1">
      <c r="A190" s="246"/>
      <c r="B190" s="581"/>
      <c r="C190" s="30" t="s">
        <v>23</v>
      </c>
      <c r="D190" s="656">
        <f>D191</f>
        <v>1512.7920799999999</v>
      </c>
      <c r="E190" s="655">
        <f t="shared" si="17"/>
        <v>1512.7920799999999</v>
      </c>
      <c r="F190" s="32"/>
      <c r="G190" s="32"/>
      <c r="H190" s="33"/>
      <c r="I190" s="34"/>
      <c r="J190" s="34"/>
      <c r="K190" s="34"/>
      <c r="L190" s="35"/>
      <c r="M190" s="254" t="s">
        <v>22</v>
      </c>
      <c r="N190" s="261">
        <v>21056</v>
      </c>
      <c r="O190" s="16">
        <v>7</v>
      </c>
      <c r="P190" s="17">
        <v>1</v>
      </c>
    </row>
    <row r="191" spans="1:16" ht="30.75" customHeight="1" thickBot="1">
      <c r="A191" s="36" t="s">
        <v>295</v>
      </c>
      <c r="B191" s="582" t="s">
        <v>296</v>
      </c>
      <c r="C191" s="81" t="s">
        <v>21</v>
      </c>
      <c r="D191" s="654">
        <f>D192</f>
        <v>1512.7920799999999</v>
      </c>
      <c r="E191" s="657">
        <f t="shared" si="17"/>
        <v>1512.7920799999999</v>
      </c>
      <c r="F191" s="38">
        <f t="shared" si="12"/>
        <v>1</v>
      </c>
      <c r="G191" s="256">
        <f t="shared" si="13"/>
        <v>1</v>
      </c>
      <c r="H191" s="257">
        <f>I191+J191+K191</f>
        <v>90</v>
      </c>
      <c r="I191" s="41">
        <f t="shared" si="14"/>
        <v>25</v>
      </c>
      <c r="J191" s="258">
        <f>IF([1]!Таблица256[[#This Row],[% экономии при выполнении программ/подпрограмм]],10,0)</f>
        <v>10</v>
      </c>
      <c r="K191" s="258">
        <f t="shared" si="15"/>
        <v>55</v>
      </c>
      <c r="L191" s="43">
        <f>IF(SUM(M190:Y190)=SUM(M191:Y191),1,2)</f>
        <v>1</v>
      </c>
      <c r="M191" s="236" t="s">
        <v>24</v>
      </c>
      <c r="N191" s="262">
        <v>21056</v>
      </c>
      <c r="O191" s="27">
        <v>7</v>
      </c>
      <c r="P191" s="28">
        <v>1</v>
      </c>
    </row>
    <row r="192" spans="1:16" ht="49.5" customHeight="1" thickBot="1">
      <c r="A192" s="44"/>
      <c r="B192" s="583"/>
      <c r="C192" s="53" t="s">
        <v>23</v>
      </c>
      <c r="D192" s="54">
        <v>1512.7920799999999</v>
      </c>
      <c r="E192" s="657">
        <v>1512.7920799999999</v>
      </c>
      <c r="F192" s="21"/>
      <c r="G192" s="70"/>
      <c r="H192" s="71"/>
      <c r="I192" s="23"/>
      <c r="J192" s="72"/>
      <c r="K192" s="72"/>
      <c r="L192" s="24"/>
      <c r="N192" s="2"/>
      <c r="O192" s="3"/>
    </row>
    <row r="193" spans="1:28" ht="95.25" customHeight="1" thickBot="1">
      <c r="A193" s="44">
        <v>16</v>
      </c>
      <c r="B193" s="584" t="s">
        <v>297</v>
      </c>
      <c r="C193" s="19" t="s">
        <v>21</v>
      </c>
      <c r="D193" s="19">
        <f>D195</f>
        <v>89.824799999999996</v>
      </c>
      <c r="E193" s="19">
        <f>E195</f>
        <v>89.824799999999996</v>
      </c>
      <c r="F193" s="21">
        <f t="shared" si="12"/>
        <v>1</v>
      </c>
      <c r="G193" s="21">
        <f t="shared" si="13"/>
        <v>1</v>
      </c>
      <c r="H193" s="22">
        <f>H195*E195/[1]!Таблица256[[#This Row],[Кассовые расходы ]]</f>
        <v>90</v>
      </c>
      <c r="I193" s="23"/>
      <c r="J193" s="23"/>
      <c r="K193" s="23"/>
      <c r="L193" s="24">
        <f>IF(SUM(M194:Y194)=SUM(M195:Y195),1,2)</f>
        <v>1</v>
      </c>
      <c r="M193" s="253" t="s">
        <v>14</v>
      </c>
      <c r="N193" s="260" t="s">
        <v>298</v>
      </c>
      <c r="O193" s="87" t="s">
        <v>299</v>
      </c>
      <c r="P193" s="88" t="s">
        <v>300</v>
      </c>
    </row>
    <row r="194" spans="1:28" ht="31.5">
      <c r="A194" s="44"/>
      <c r="B194" s="584"/>
      <c r="C194" s="19" t="s">
        <v>23</v>
      </c>
      <c r="D194" s="19">
        <f>D196</f>
        <v>89.824799999999996</v>
      </c>
      <c r="E194" s="19">
        <f>E196</f>
        <v>89.824799999999996</v>
      </c>
      <c r="F194" s="21"/>
      <c r="G194" s="21"/>
      <c r="H194" s="22"/>
      <c r="I194" s="23"/>
      <c r="J194" s="23"/>
      <c r="K194" s="23"/>
      <c r="L194" s="24"/>
      <c r="M194" s="254" t="s">
        <v>22</v>
      </c>
      <c r="N194" s="261">
        <v>0</v>
      </c>
      <c r="O194" s="224">
        <v>0</v>
      </c>
      <c r="P194" s="224">
        <v>0</v>
      </c>
    </row>
    <row r="195" spans="1:28" ht="40.5" customHeight="1" thickBot="1">
      <c r="A195" s="44" t="s">
        <v>301</v>
      </c>
      <c r="B195" s="585" t="s">
        <v>302</v>
      </c>
      <c r="C195" s="110" t="s">
        <v>21</v>
      </c>
      <c r="D195" s="110">
        <f>D196</f>
        <v>89.824799999999996</v>
      </c>
      <c r="E195" s="110">
        <f>E196</f>
        <v>89.824799999999996</v>
      </c>
      <c r="F195" s="21">
        <f t="shared" si="12"/>
        <v>1</v>
      </c>
      <c r="G195" s="70">
        <f t="shared" ref="G195:G203" si="18">E195/D195*100%</f>
        <v>1</v>
      </c>
      <c r="H195" s="71">
        <f>I195+J195+K195</f>
        <v>90</v>
      </c>
      <c r="I195" s="23">
        <f t="shared" ref="I195:I203" si="19">IF(G195=1,25,IF((G195&gt;0.9)*(G195&lt;1),0,IF((G195&gt;0.7)*(G195&lt;0.9),-10,-25)))</f>
        <v>25</v>
      </c>
      <c r="J195" s="72">
        <f>IF([1]!Таблица256[[#This Row],[% экономии при выполнении программ/подпрограмм]],10,0)</f>
        <v>10</v>
      </c>
      <c r="K195" s="72">
        <f t="shared" ref="K195:K203" si="20">IF(L195=1,55,10)</f>
        <v>55</v>
      </c>
      <c r="L195" s="24">
        <f>IF(SUM(M194:Y194)=SUM(M195:Y195),1,2)</f>
        <v>1</v>
      </c>
      <c r="M195" s="236" t="s">
        <v>24</v>
      </c>
      <c r="N195" s="262">
        <v>0</v>
      </c>
      <c r="O195" s="227">
        <v>0</v>
      </c>
      <c r="P195" s="227">
        <v>0</v>
      </c>
    </row>
    <row r="196" spans="1:28" ht="57" customHeight="1" thickBot="1">
      <c r="A196" s="83"/>
      <c r="B196" s="586"/>
      <c r="C196" s="121" t="s">
        <v>23</v>
      </c>
      <c r="D196" s="263">
        <v>89.824799999999996</v>
      </c>
      <c r="E196" s="263">
        <v>89.824799999999996</v>
      </c>
      <c r="F196" s="59"/>
      <c r="G196" s="95"/>
      <c r="H196" s="96"/>
      <c r="I196" s="62"/>
      <c r="J196" s="97"/>
      <c r="K196" s="97"/>
      <c r="L196" s="64"/>
      <c r="N196" s="2"/>
      <c r="O196" s="3"/>
    </row>
    <row r="197" spans="1:28" ht="72.75" customHeight="1" thickBot="1">
      <c r="A197" s="241">
        <v>17</v>
      </c>
      <c r="B197" s="580" t="s">
        <v>303</v>
      </c>
      <c r="C197" s="8" t="s">
        <v>21</v>
      </c>
      <c r="D197" s="8">
        <f>D199</f>
        <v>197.58259000000001</v>
      </c>
      <c r="E197" s="8">
        <f>E199</f>
        <v>197.58259000000001</v>
      </c>
      <c r="F197" s="10">
        <f t="shared" ref="F197:F203" si="21">E197/D197*100%</f>
        <v>1</v>
      </c>
      <c r="G197" s="10">
        <f t="shared" si="18"/>
        <v>1</v>
      </c>
      <c r="H197" s="85">
        <f>H199*E199/[1]!Таблица256[[#This Row],[Кассовые расходы ]]</f>
        <v>90</v>
      </c>
      <c r="I197" s="12"/>
      <c r="J197" s="12"/>
      <c r="K197" s="12"/>
      <c r="L197" s="13">
        <f>IF(SUM(M198:Y198)=SUM(M199:Y199),1,2)</f>
        <v>1</v>
      </c>
      <c r="M197" s="253" t="s">
        <v>14</v>
      </c>
      <c r="N197" s="260" t="s">
        <v>304</v>
      </c>
      <c r="O197" s="87" t="s">
        <v>305</v>
      </c>
      <c r="P197" s="88" t="s">
        <v>306</v>
      </c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  <c r="AA197" s="109"/>
      <c r="AB197" s="109"/>
    </row>
    <row r="198" spans="1:28" ht="32.25" thickBot="1">
      <c r="A198" s="246"/>
      <c r="B198" s="581"/>
      <c r="C198" s="30" t="s">
        <v>23</v>
      </c>
      <c r="D198" s="30">
        <f>D200</f>
        <v>197.58259000000001</v>
      </c>
      <c r="E198" s="30">
        <f>E200</f>
        <v>197.58259000000001</v>
      </c>
      <c r="F198" s="32"/>
      <c r="G198" s="32"/>
      <c r="H198" s="33"/>
      <c r="I198" s="34"/>
      <c r="J198" s="34"/>
      <c r="K198" s="34"/>
      <c r="L198" s="35"/>
      <c r="M198" s="254" t="s">
        <v>22</v>
      </c>
      <c r="N198" s="261">
        <v>16.7</v>
      </c>
      <c r="O198" s="224">
        <v>0</v>
      </c>
      <c r="P198" s="224">
        <v>0</v>
      </c>
    </row>
    <row r="199" spans="1:28" ht="56.25" customHeight="1" thickBot="1">
      <c r="A199" s="36" t="s">
        <v>307</v>
      </c>
      <c r="B199" s="587" t="s">
        <v>308</v>
      </c>
      <c r="C199" s="107" t="s">
        <v>21</v>
      </c>
      <c r="D199" s="107">
        <f>D200</f>
        <v>197.58259000000001</v>
      </c>
      <c r="E199" s="107">
        <f>E200</f>
        <v>197.58259000000001</v>
      </c>
      <c r="F199" s="38">
        <f t="shared" si="21"/>
        <v>1</v>
      </c>
      <c r="G199" s="256">
        <f t="shared" si="18"/>
        <v>1</v>
      </c>
      <c r="H199" s="257">
        <f>I199+J199+K199</f>
        <v>90</v>
      </c>
      <c r="I199" s="41">
        <f t="shared" si="19"/>
        <v>25</v>
      </c>
      <c r="J199" s="258">
        <f>IF([1]!Таблица256[[#This Row],[% экономии при выполнении программ/подпрограмм]],10,0)</f>
        <v>10</v>
      </c>
      <c r="K199" s="258">
        <f t="shared" si="20"/>
        <v>55</v>
      </c>
      <c r="L199" s="43">
        <f>IF(SUM(M198:Y198)=SUM(M199:Y199),1,2)</f>
        <v>1</v>
      </c>
      <c r="M199" s="236" t="s">
        <v>24</v>
      </c>
      <c r="N199" s="262">
        <v>16.7</v>
      </c>
      <c r="O199" s="227">
        <v>0</v>
      </c>
      <c r="P199" s="227">
        <v>0</v>
      </c>
    </row>
    <row r="200" spans="1:28" ht="50.25" customHeight="1" thickBot="1">
      <c r="A200" s="83"/>
      <c r="B200" s="586"/>
      <c r="C200" s="121" t="s">
        <v>23</v>
      </c>
      <c r="D200" s="263">
        <v>197.58259000000001</v>
      </c>
      <c r="E200" s="263">
        <v>197.58259000000001</v>
      </c>
      <c r="F200" s="59"/>
      <c r="G200" s="59"/>
      <c r="H200" s="240"/>
      <c r="I200" s="62"/>
      <c r="J200" s="62"/>
      <c r="K200" s="62"/>
      <c r="L200" s="64"/>
      <c r="N200" s="2"/>
      <c r="O200" s="3"/>
    </row>
    <row r="201" spans="1:28" ht="64.5" customHeight="1" thickBot="1">
      <c r="A201" s="264">
        <v>18</v>
      </c>
      <c r="B201" s="580" t="s">
        <v>309</v>
      </c>
      <c r="C201" s="8" t="s">
        <v>21</v>
      </c>
      <c r="D201" s="8">
        <v>74</v>
      </c>
      <c r="E201" s="8">
        <v>74</v>
      </c>
      <c r="F201" s="10">
        <f t="shared" si="21"/>
        <v>1</v>
      </c>
      <c r="G201" s="10">
        <f t="shared" si="18"/>
        <v>1</v>
      </c>
      <c r="H201" s="205">
        <f>H203*E203/E201</f>
        <v>45</v>
      </c>
      <c r="I201" s="12">
        <f t="shared" si="19"/>
        <v>25</v>
      </c>
      <c r="J201" s="12">
        <f>IF([1]!Таблица256[[#This Row],[% экономии при выполнении программ/подпрограмм]],10,0)</f>
        <v>10</v>
      </c>
      <c r="K201" s="12">
        <f t="shared" si="20"/>
        <v>10</v>
      </c>
      <c r="L201" s="13">
        <f>IF(SUM(M202:Y202)=SUM(M203:Y203),1,2)</f>
        <v>2</v>
      </c>
      <c r="M201" s="265" t="s">
        <v>14</v>
      </c>
      <c r="N201" s="266" t="s">
        <v>310</v>
      </c>
      <c r="O201" s="266" t="s">
        <v>311</v>
      </c>
      <c r="P201" s="266" t="s">
        <v>312</v>
      </c>
      <c r="Q201" s="266" t="s">
        <v>313</v>
      </c>
      <c r="R201" s="267"/>
    </row>
    <row r="202" spans="1:28" ht="32.25" thickBot="1">
      <c r="A202" s="268"/>
      <c r="B202" s="581"/>
      <c r="C202" s="30" t="s">
        <v>314</v>
      </c>
      <c r="D202" s="30">
        <v>74</v>
      </c>
      <c r="E202" s="30">
        <v>74</v>
      </c>
      <c r="F202" s="32"/>
      <c r="G202" s="32"/>
      <c r="H202" s="33"/>
      <c r="I202" s="34"/>
      <c r="J202" s="34"/>
      <c r="K202" s="34"/>
      <c r="L202" s="35"/>
      <c r="M202" s="269" t="s">
        <v>22</v>
      </c>
      <c r="N202" s="270">
        <v>20</v>
      </c>
      <c r="O202" s="227">
        <v>35</v>
      </c>
      <c r="P202" s="270">
        <v>3</v>
      </c>
      <c r="Q202" s="28">
        <v>9.5</v>
      </c>
    </row>
    <row r="203" spans="1:28" ht="24.75" customHeight="1" thickBot="1">
      <c r="A203" s="271" t="s">
        <v>315</v>
      </c>
      <c r="B203" s="582" t="s">
        <v>316</v>
      </c>
      <c r="C203" s="81" t="s">
        <v>21</v>
      </c>
      <c r="D203" s="81">
        <v>74</v>
      </c>
      <c r="E203" s="81">
        <v>74</v>
      </c>
      <c r="F203" s="38">
        <f t="shared" si="21"/>
        <v>1</v>
      </c>
      <c r="G203" s="256">
        <f t="shared" si="18"/>
        <v>1</v>
      </c>
      <c r="H203" s="257">
        <f>I203+J203+K203</f>
        <v>45</v>
      </c>
      <c r="I203" s="41">
        <f t="shared" si="19"/>
        <v>25</v>
      </c>
      <c r="J203" s="258">
        <f>IF([1]!Таблица256[[#This Row],[% экономии при выполнении программ/подпрограмм]],10,0)</f>
        <v>10</v>
      </c>
      <c r="K203" s="258">
        <f t="shared" si="20"/>
        <v>10</v>
      </c>
      <c r="L203" s="43">
        <f>IF(SUM(M202:Y202)=SUM(M203:Y203),1,2)</f>
        <v>2</v>
      </c>
      <c r="M203" s="272" t="s">
        <v>24</v>
      </c>
      <c r="N203" s="270">
        <v>26.1</v>
      </c>
      <c r="O203" s="227">
        <v>27</v>
      </c>
      <c r="P203" s="270">
        <v>4.0999999999999996</v>
      </c>
      <c r="Q203" s="28">
        <v>0</v>
      </c>
    </row>
    <row r="204" spans="1:28" ht="38.25" customHeight="1" thickBot="1">
      <c r="A204" s="273"/>
      <c r="B204" s="583"/>
      <c r="C204" s="274" t="s">
        <v>314</v>
      </c>
      <c r="D204" s="53">
        <v>74</v>
      </c>
      <c r="E204" s="53">
        <v>74</v>
      </c>
      <c r="F204" s="21"/>
      <c r="G204" s="70"/>
      <c r="H204" s="71"/>
      <c r="I204" s="23"/>
      <c r="J204" s="72"/>
      <c r="K204" s="72"/>
      <c r="L204" s="24"/>
      <c r="N204" s="2"/>
      <c r="O204" s="3"/>
    </row>
    <row r="205" spans="1:28" ht="28.5" customHeight="1" thickBot="1">
      <c r="A205" s="275"/>
      <c r="B205" s="275" t="s">
        <v>317</v>
      </c>
      <c r="C205" s="276"/>
      <c r="D205" s="277">
        <f>D201+D197+D193+D189+D185+D177+D173+D161+D153+D141+D126+D109+D96+D90+D56+D43+D22+D3</f>
        <v>254458.02075000003</v>
      </c>
      <c r="E205" s="277">
        <f>E201+E197+E193+E189+E185+E177+E173+E161+E153+E141+E126+E109+E96+E90+E56+E43+E22+E3</f>
        <v>254323.12075</v>
      </c>
      <c r="F205" s="32"/>
      <c r="G205" s="278"/>
      <c r="H205" s="279">
        <f>(H201+H197+H193+H189+H185+H177+H173+H161+H153+H141+H126+H109+H96+H90+H56+H43+H22+H3)/18</f>
        <v>75.42926308611456</v>
      </c>
      <c r="I205" s="34"/>
      <c r="J205" s="280"/>
      <c r="K205" s="280"/>
      <c r="L205" s="35"/>
      <c r="N205" s="2"/>
      <c r="O205" s="3"/>
    </row>
    <row r="206" spans="1:28" ht="15.75">
      <c r="A206" s="281"/>
      <c r="B206" s="210"/>
      <c r="C206" s="210"/>
      <c r="D206" s="210"/>
      <c r="E206" s="210"/>
      <c r="F206" s="282"/>
      <c r="G206" s="282"/>
      <c r="H206" s="210"/>
      <c r="I206" s="283"/>
      <c r="J206" s="283"/>
      <c r="K206" s="283"/>
      <c r="L206" s="283"/>
      <c r="N206" s="2"/>
      <c r="O206" s="3"/>
    </row>
    <row r="207" spans="1:28">
      <c r="A207" s="284"/>
      <c r="B207" s="210"/>
      <c r="C207" s="210"/>
      <c r="D207" s="285"/>
      <c r="E207" s="210"/>
      <c r="F207" s="282"/>
      <c r="G207" s="282"/>
      <c r="H207" s="210"/>
      <c r="I207" s="283"/>
      <c r="J207" s="283"/>
      <c r="K207" s="283"/>
      <c r="L207" s="283"/>
      <c r="N207" s="2"/>
      <c r="O207" s="3"/>
    </row>
    <row r="208" spans="1:28">
      <c r="A208" s="284"/>
      <c r="B208" s="210"/>
      <c r="C208" s="210"/>
      <c r="D208" s="210"/>
      <c r="E208" s="210"/>
      <c r="F208" s="282"/>
      <c r="G208" s="282"/>
      <c r="H208" s="210"/>
      <c r="I208" s="283"/>
      <c r="J208" s="283"/>
      <c r="K208" s="283"/>
      <c r="L208" s="283"/>
      <c r="N208" s="2"/>
      <c r="O208" s="3"/>
    </row>
  </sheetData>
  <mergeCells count="92">
    <mergeCell ref="L1:L2"/>
    <mergeCell ref="B3:B6"/>
    <mergeCell ref="B7:B10"/>
    <mergeCell ref="A1:A2"/>
    <mergeCell ref="B1:B2"/>
    <mergeCell ref="C1:C2"/>
    <mergeCell ref="F1:F2"/>
    <mergeCell ref="G1:G2"/>
    <mergeCell ref="H1:H2"/>
    <mergeCell ref="E17:E18"/>
    <mergeCell ref="B19:B21"/>
    <mergeCell ref="I1:I2"/>
    <mergeCell ref="J1:J2"/>
    <mergeCell ref="K1:K2"/>
    <mergeCell ref="B35:B38"/>
    <mergeCell ref="B11:B13"/>
    <mergeCell ref="B14:B18"/>
    <mergeCell ref="C17:C18"/>
    <mergeCell ref="D17:D18"/>
    <mergeCell ref="B22:B27"/>
    <mergeCell ref="C26:C27"/>
    <mergeCell ref="B28:B29"/>
    <mergeCell ref="B30:B32"/>
    <mergeCell ref="B33:B34"/>
    <mergeCell ref="B56:B60"/>
    <mergeCell ref="B39:B40"/>
    <mergeCell ref="D39:L40"/>
    <mergeCell ref="B41:B42"/>
    <mergeCell ref="D41:L42"/>
    <mergeCell ref="B43:B44"/>
    <mergeCell ref="B45:B46"/>
    <mergeCell ref="B47:B48"/>
    <mergeCell ref="B49:B50"/>
    <mergeCell ref="D49:L50"/>
    <mergeCell ref="B51:B52"/>
    <mergeCell ref="B53:B55"/>
    <mergeCell ref="B96:B98"/>
    <mergeCell ref="B61:B63"/>
    <mergeCell ref="B64:B66"/>
    <mergeCell ref="B67:B70"/>
    <mergeCell ref="B71:B73"/>
    <mergeCell ref="B74:B77"/>
    <mergeCell ref="B78:B82"/>
    <mergeCell ref="B83:B85"/>
    <mergeCell ref="B86:B87"/>
    <mergeCell ref="B88:B89"/>
    <mergeCell ref="B90:B92"/>
    <mergeCell ref="B93:B95"/>
    <mergeCell ref="B132:B133"/>
    <mergeCell ref="B99:B101"/>
    <mergeCell ref="B102:B105"/>
    <mergeCell ref="C103:C105"/>
    <mergeCell ref="B106:B108"/>
    <mergeCell ref="B109:B113"/>
    <mergeCell ref="B114:B117"/>
    <mergeCell ref="D114:L114"/>
    <mergeCell ref="B118:B120"/>
    <mergeCell ref="B121:B125"/>
    <mergeCell ref="B126:B128"/>
    <mergeCell ref="B129:B131"/>
    <mergeCell ref="B164:B166"/>
    <mergeCell ref="B134:B135"/>
    <mergeCell ref="B136:B137"/>
    <mergeCell ref="D136:L136"/>
    <mergeCell ref="B138:B140"/>
    <mergeCell ref="B141:B144"/>
    <mergeCell ref="B145:B146"/>
    <mergeCell ref="B147:B150"/>
    <mergeCell ref="B151:B152"/>
    <mergeCell ref="B153:B156"/>
    <mergeCell ref="B157:B160"/>
    <mergeCell ref="B161:B163"/>
    <mergeCell ref="B187:B188"/>
    <mergeCell ref="B167:B169"/>
    <mergeCell ref="B170:B172"/>
    <mergeCell ref="B173:B174"/>
    <mergeCell ref="B175:B176"/>
    <mergeCell ref="B177:B178"/>
    <mergeCell ref="B179:B180"/>
    <mergeCell ref="D179:K180"/>
    <mergeCell ref="B181:B182"/>
    <mergeCell ref="B183:B184"/>
    <mergeCell ref="D183:K184"/>
    <mergeCell ref="B185:B186"/>
    <mergeCell ref="B201:B202"/>
    <mergeCell ref="B203:B204"/>
    <mergeCell ref="B189:B190"/>
    <mergeCell ref="B191:B192"/>
    <mergeCell ref="B193:B194"/>
    <mergeCell ref="B195:B196"/>
    <mergeCell ref="B197:B198"/>
    <mergeCell ref="B199:B200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городское поселение</vt:lpstr>
      <vt:lpstr>муниципальный район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2019-04-03T11:49:31Z</dcterms:created>
  <dcterms:modified xsi:type="dcterms:W3CDTF">2019-04-03T12:12:57Z</dcterms:modified>
</cp:coreProperties>
</file>